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140" windowHeight="1272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b)'!$B$55</definedName>
    <definedName name="cvbcbvbcvbvc">'Formato 6 b)'!$C$40</definedName>
    <definedName name="cvbcvb">'Formato 6 b)'!$F$39</definedName>
    <definedName name="cvbcvbcbv">'Formato 6 b)'!$D$55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b)'!$B$55</definedName>
    <definedName name="GASTO_E_FIN_02">'Formato 6 b)'!$C$55</definedName>
    <definedName name="GASTO_E_FIN_03">'Formato 6 b)'!$D$55</definedName>
    <definedName name="GASTO_E_FIN_04">'Formato 6 b)'!$E$55</definedName>
    <definedName name="GASTO_E_FIN_05">'Formato 6 b)'!$F$55</definedName>
    <definedName name="GASTO_E_FIN_06">'Formato 6 b)'!$G$55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b)'!$B$40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<sst xmlns="http://schemas.openxmlformats.org/spreadsheetml/2006/main" count="693" uniqueCount="485">
  <si>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</si>
  <si>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</si>
  <si>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</si>
  <si>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</si>
  <si>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</si>
  <si>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</si>
  <si>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</si>
  <si>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</si>
  <si>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</si>
  <si>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</si>
  <si>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</si>
  <si>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</si>
  <si>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</si>
  <si>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</si>
  <si>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</si>
  <si>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</si>
  <si>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</si>
  <si>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</si>
  <si>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</si>
  <si>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</si>
  <si>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</si>
  <si>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</si>
  <si>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</si>
  <si>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</si>
  <si>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</si>
  <si>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</si>
  <si>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</si>
  <si>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</si>
  <si>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</si>
  <si>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</si>
  <si>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</si>
  <si>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</si>
  <si>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</si>
  <si>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</si>
  <si>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</si>
  <si>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</si>
  <si>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</si>
  <si>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</si>
  <si>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</si>
  <si>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</si>
  <si>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</si>
  <si>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</si>
  <si>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</si>
  <si>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</si>
  <si>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</si>
  <si>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</si>
  <si>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</si>
  <si>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</si>
  <si>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</si>
  <si>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</si>
  <si>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</si>
  <si>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</si>
  <si>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</si>
  <si>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</si>
  <si>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</si>
  <si>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</si>
  <si>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</si>
  <si>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</si>
  <si>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</si>
  <si>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</si>
  <si>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</si>
  <si>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</si>
  <si>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</si>
  <si>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</si>
  <si>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</si>
  <si>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</si>
  <si>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</si>
  <si>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</si>
  <si>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</si>
  <si>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</si>
  <si>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</si>
  <si>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</si>
  <si>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</si>
  <si>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</si>
  <si>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</si>
  <si>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</si>
  <si>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</si>
  <si>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</si>
  <si>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</si>
  <si>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</si>
  <si>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</si>
  <si>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</si>
  <si>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</si>
  <si>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</si>
  <si>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</si>
  <si>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</si>
  <si>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</si>
  <si>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</si>
  <si>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</si>
  <si>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</si>
  <si>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</si>
  <si>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</si>
  <si>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</si>
  <si>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</si>
  <si>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</si>
  <si>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</si>
  <si>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</si>
  <si>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</si>
  <si>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</si>
  <si>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</si>
  <si>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</si>
  <si>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</si>
  <si>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</si>
  <si>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</si>
  <si>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</si>
  <si>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</si>
  <si>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</si>
  <si>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</si>
  <si>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</si>
  <si>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</si>
  <si>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</si>
  <si>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</si>
  <si>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</si>
  <si>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</si>
  <si>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</si>
  <si>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</si>
  <si>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</si>
  <si>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</si>
  <si>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</si>
  <si>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</si>
  <si>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</si>
  <si>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</si>
  <si>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</si>
  <si>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</si>
  <si>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</si>
  <si>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</si>
  <si>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</si>
  <si>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</si>
  <si>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</si>
  <si>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</si>
  <si>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</si>
  <si>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</si>
  <si>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</si>
  <si>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</si>
  <si>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</si>
  <si>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</si>
  <si>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</si>
  <si>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</si>
  <si>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</si>
  <si>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</si>
  <si>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</si>
  <si>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</si>
  <si>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</si>
  <si>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</si>
  <si>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</si>
  <si>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</si>
  <si>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</si>
  <si>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</si>
  <si>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</si>
  <si>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</si>
  <si>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</si>
  <si>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</si>
  <si>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</si>
  <si>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</si>
  <si>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</si>
  <si>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</si>
  <si>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</si>
  <si>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</si>
  <si>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</si>
  <si>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</si>
  <si>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</si>
  <si>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</si>
  <si>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</si>
  <si>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</si>
  <si>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</si>
  <si>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</si>
  <si>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</si>
  <si>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</si>
  <si>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</si>
  <si>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</si>
  <si>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</si>
  <si>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</si>
  <si>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</si>
  <si>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</si>
  <si>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</si>
  <si>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</si>
  <si>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</si>
  <si>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</si>
  <si>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</si>
  <si>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</si>
  <si>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</si>
  <si>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</si>
  <si>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</si>
  <si>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</si>
  <si>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</si>
  <si>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</si>
  <si>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</si>
  <si>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</si>
  <si>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</si>
  <si>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</si>
  <si>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</si>
  <si>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</si>
  <si>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</si>
  <si>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</si>
  <si>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</si>
  <si>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</si>
  <si>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</si>
  <si>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</si>
  <si>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</si>
  <si>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</si>
  <si>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</si>
  <si>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</si>
  <si>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</si>
  <si>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</si>
  <si>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</si>
  <si>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</si>
  <si>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</si>
  <si>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</si>
  <si>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</si>
  <si>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</si>
  <si>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</si>
  <si>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</si>
  <si>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</si>
  <si>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</si>
  <si>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</si>
  <si>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</si>
  <si>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</si>
  <si>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</si>
  <si>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</si>
  <si>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</si>
  <si>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</si>
  <si>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</si>
  <si>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</si>
  <si>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</si>
  <si>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</si>
  <si>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</si>
  <si>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</si>
  <si>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</si>
  <si>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</si>
  <si>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</si>
  <si>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</si>
  <si>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</si>
  <si>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</si>
  <si>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</si>
  <si>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</si>
  <si>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</si>
  <si>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</si>
  <si>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</si>
  <si>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</si>
  <si>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</si>
  <si>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</si>
  <si>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</si>
  <si>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</si>
  <si>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</si>
  <si>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</si>
  <si>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</si>
  <si>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</si>
  <si>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</si>
  <si>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</si>
  <si>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</si>
  <si>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</si>
  <si>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</si>
  <si>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</si>
  <si>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</si>
  <si>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</si>
  <si>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</si>
  <si>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</si>
  <si>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</si>
  <si>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</si>
  <si>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</si>
  <si>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</si>
  <si>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</si>
  <si>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</si>
  <si>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</si>
  <si>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</si>
  <si>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</si>
  <si>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</si>
  <si>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</si>
  <si>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</si>
  <si>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</si>
  <si>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</si>
  <si>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</si>
  <si>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</si>
  <si>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</si>
  <si>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</si>
  <si>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</si>
  <si>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</si>
  <si>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</si>
  <si>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</si>
  <si>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</si>
  <si>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</si>
  <si>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</si>
  <si>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</si>
  <si>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</si>
  <si>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</si>
  <si>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</si>
  <si>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</si>
  <si>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</si>
  <si>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</si>
  <si>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</si>
  <si>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</si>
  <si>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</si>
  <si>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</si>
  <si>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</si>
  <si>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</si>
  <si>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</si>
  <si>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</si>
  <si>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</si>
  <si>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</si>
  <si>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</si>
  <si>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</si>
  <si>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</si>
  <si>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</si>
  <si>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</si>
  <si>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</si>
  <si>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</si>
  <si>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</si>
  <si>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</si>
  <si>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</si>
  <si>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</si>
  <si>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</si>
  <si>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</si>
  <si>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</si>
  <si>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</si>
  <si>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</si>
  <si>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</si>
  <si>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</si>
  <si>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</si>
  <si>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</si>
  <si>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</si>
  <si>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</si>
  <si>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</si>
  <si>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</si>
  <si>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</si>
  <si>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</si>
  <si>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</si>
  <si>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</si>
  <si>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</si>
  <si>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</si>
  <si>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</si>
  <si>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</si>
  <si>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</si>
  <si>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</si>
  <si>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</si>
  <si>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</si>
  <si>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</si>
  <si>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</si>
  <si>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</si>
  <si>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</si>
  <si>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</si>
  <si>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</si>
  <si>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</si>
  <si>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</si>
  <si>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</si>
  <si>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</si>
  <si>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</si>
  <si>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</si>
  <si>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</si>
  <si>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</si>
  <si>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</si>
  <si>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</si>
  <si>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</si>
  <si>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</si>
  <si>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</si>
  <si>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</si>
  <si>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</si>
  <si>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</si>
  <si>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</si>
  <si>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</si>
  <si>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</si>
  <si>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</si>
  <si>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</si>
  <si>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</si>
  <si>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</si>
  <si>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</si>
  <si>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</si>
  <si>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</si>
  <si>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</si>
  <si>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</si>
  <si>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</si>
  <si>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</si>
  <si>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</si>
  <si>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</si>
  <si>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</si>
  <si>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</si>
  <si>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</si>
  <si>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</si>
  <si>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</si>
  <si>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</si>
  <si>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</si>
  <si>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</si>
  <si>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</si>
  <si>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</si>
  <si>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</si>
  <si>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</si>
  <si>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</si>
  <si>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</si>
  <si>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</si>
  <si>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</si>
  <si>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</si>
  <si>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</si>
  <si>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</si>
  <si>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</si>
  <si>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</si>
  <si>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</si>
  <si>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</si>
  <si>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</si>
  <si>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</si>
  <si>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</si>
  <si>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</si>
  <si>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</si>
  <si>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</si>
  <si>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</si>
  <si>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</si>
  <si>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</si>
  <si>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</si>
  <si>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</si>
  <si>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</si>
  <si>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</si>
  <si>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</si>
  <si>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</si>
  <si>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</si>
  <si>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</si>
  <si>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</si>
  <si>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</si>
  <si>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</si>
  <si>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</si>
  <si>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</si>
  <si>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</si>
  <si>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</si>
  <si>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</si>
  <si>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</si>
  <si>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</si>
  <si>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</si>
  <si>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</si>
  <si>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</si>
  <si>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</si>
  <si>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</si>
  <si>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</si>
  <si>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</si>
  <si>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</si>
  <si>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</si>
  <si>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</si>
  <si>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</si>
  <si>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</si>
  <si>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</si>
  <si>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</si>
  <si>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</si>
  <si>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</si>
  <si>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</si>
  <si>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</si>
  <si>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</si>
  <si>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</si>
  <si>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</si>
  <si>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</si>
  <si>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</si>
  <si>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</si>
  <si>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</si>
  <si>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</si>
  <si>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</si>
  <si>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</si>
  <si>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</si>
  <si>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</si>
  <si>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</si>
  <si>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</si>
  <si>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</si>
  <si>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</si>
  <si>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</si>
  <si>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</si>
  <si>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</si>
  <si>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</si>
  <si>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</si>
  <si>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</si>
  <si>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</si>
  <si>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</si>
  <si>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</si>
  <si>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</si>
  <si>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</si>
  <si>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</si>
  <si>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</si>
  <si>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</si>
  <si>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</si>
  <si>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</si>
  <si>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</si>
  <si>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</si>
  <si>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Al 31 de marzo de 2020 y al 31 de diciembre 2019 (b)</t>
  </si>
  <si>
    <t>2020 (d)</t>
  </si>
  <si>
    <t>31 de diciembre de 2019 (e)</t>
  </si>
  <si>
    <t>Del 1 enero al 31 de marzo de 2020 (b)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</si>
  <si>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</si>
  <si>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</si>
  <si>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</si>
  <si>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Saldo al 31 de diciembre de 2019 (d)</t>
  </si>
  <si>
    <t>Del 1 de enero al 31 de marzo de 2020 (b)</t>
  </si>
  <si>
    <t>Secretaría de Medio Ambiente, Biodiversidad y Cambio Climático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</si>
</sst>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indent="3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wrapText="1" indent="3"/>
    </xf>
    <xf numFmtId="171" fontId="43" fillId="0" borderId="15" xfId="47" applyFont="1" applyFill="1" applyBorder="1" applyAlignment="1" applyProtection="1">
      <alignment/>
      <protection locked="0"/>
    </xf>
    <xf numFmtId="171" fontId="46" fillId="33" borderId="16" xfId="47" applyFont="1" applyFill="1" applyBorder="1" applyAlignment="1">
      <alignment/>
    </xf>
    <xf numFmtId="171" fontId="47" fillId="33" borderId="16" xfId="47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6"/>
    </xf>
    <xf numFmtId="0" fontId="0" fillId="34" borderId="15" xfId="0" applyFill="1" applyBorder="1" applyAlignment="1">
      <alignment horizontal="left" vertical="center" indent="9"/>
    </xf>
    <xf numFmtId="0" fontId="0" fillId="34" borderId="15" xfId="0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indent="9"/>
    </xf>
    <xf numFmtId="0" fontId="0" fillId="34" borderId="15" xfId="0" applyFill="1" applyBorder="1" applyAlignment="1">
      <alignment horizontal="left" indent="3"/>
    </xf>
    <xf numFmtId="0" fontId="43" fillId="34" borderId="15" xfId="0" applyFont="1" applyFill="1" applyBorder="1" applyAlignment="1">
      <alignment horizontal="left" indent="3"/>
    </xf>
    <xf numFmtId="171" fontId="43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center" wrapText="1" indent="6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left" vertical="center" wrapText="1" indent="9"/>
    </xf>
    <xf numFmtId="0" fontId="0" fillId="34" borderId="15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5" xfId="0" applyFill="1" applyBorder="1" applyAlignment="1" applyProtection="1">
      <alignment horizontal="left" vertical="center" indent="6"/>
      <protection locked="0"/>
    </xf>
    <xf numFmtId="0" fontId="28" fillId="34" borderId="15" xfId="0" applyFont="1" applyFill="1" applyBorder="1" applyAlignment="1">
      <alignment vertical="center"/>
    </xf>
    <xf numFmtId="171" fontId="0" fillId="34" borderId="15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left" vertical="center" wrapText="1" indent="3"/>
    </xf>
    <xf numFmtId="0" fontId="43" fillId="34" borderId="15" xfId="0" applyFont="1" applyFill="1" applyBorder="1" applyAlignment="1">
      <alignment horizontal="left" vertical="center" wrapText="1" indent="3"/>
    </xf>
    <xf numFmtId="0" fontId="0" fillId="34" borderId="17" xfId="0" applyFill="1" applyBorder="1" applyAlignment="1">
      <alignment horizontal="left" vertical="center" indent="6"/>
    </xf>
    <xf numFmtId="171" fontId="0" fillId="34" borderId="17" xfId="47" applyFont="1" applyFill="1" applyBorder="1" applyAlignment="1" applyProtection="1">
      <alignment/>
      <protection locked="0"/>
    </xf>
    <xf numFmtId="0" fontId="43" fillId="34" borderId="15" xfId="0" applyFont="1" applyFill="1" applyBorder="1" applyAlignment="1">
      <alignment horizontal="left" vertical="center" wrapText="1" indent="9"/>
    </xf>
    <xf numFmtId="171" fontId="43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left" vertical="center" indent="12"/>
    </xf>
    <xf numFmtId="171" fontId="0" fillId="34" borderId="15" xfId="47" applyFont="1" applyFill="1" applyBorder="1" applyAlignment="1" applyProtection="1">
      <alignment/>
      <protection locked="0"/>
    </xf>
    <xf numFmtId="171" fontId="0" fillId="34" borderId="17" xfId="47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>
      <alignment vertical="center"/>
    </xf>
    <xf numFmtId="171" fontId="43" fillId="34" borderId="15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34" borderId="13" xfId="0" applyFont="1" applyFill="1" applyBorder="1" applyAlignment="1">
      <alignment horizontal="left" vertical="center" wrapText="1" indent="3"/>
    </xf>
    <xf numFmtId="171" fontId="43" fillId="34" borderId="15" xfId="47" applyFont="1" applyFill="1" applyBorder="1" applyAlignment="1">
      <alignment/>
    </xf>
    <xf numFmtId="171" fontId="0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172" fontId="0" fillId="34" borderId="15" xfId="0" applyNumberFormat="1" applyFill="1" applyBorder="1" applyAlignment="1" applyProtection="1">
      <alignment vertical="center"/>
      <protection locked="0"/>
    </xf>
    <xf numFmtId="16" fontId="0" fillId="34" borderId="15" xfId="0" applyNumberForma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0" fillId="34" borderId="15" xfId="0" applyFill="1" applyBorder="1" applyAlignment="1" applyProtection="1">
      <alignment horizontal="left" vertical="center" indent="4"/>
      <protection locked="0"/>
    </xf>
    <xf numFmtId="0" fontId="28" fillId="34" borderId="15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7"/>
    </xf>
    <xf numFmtId="0" fontId="0" fillId="34" borderId="14" xfId="0" applyFill="1" applyBorder="1" applyAlignment="1" applyProtection="1">
      <alignment horizontal="left" vertical="center" indent="5"/>
      <protection locked="0"/>
    </xf>
    <xf numFmtId="0" fontId="28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8" fillId="34" borderId="13" xfId="0" applyFont="1" applyFill="1" applyBorder="1" applyAlignment="1">
      <alignment/>
    </xf>
    <xf numFmtId="0" fontId="43" fillId="34" borderId="19" xfId="0" applyFont="1" applyFill="1" applyBorder="1" applyAlignment="1">
      <alignment horizontal="left" vertical="center" indent="2"/>
    </xf>
    <xf numFmtId="0" fontId="0" fillId="34" borderId="19" xfId="0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center" indent="5"/>
    </xf>
    <xf numFmtId="0" fontId="0" fillId="34" borderId="19" xfId="0" applyFill="1" applyBorder="1" applyAlignment="1">
      <alignment horizontal="left" vertical="center" indent="5"/>
    </xf>
    <xf numFmtId="0" fontId="0" fillId="34" borderId="15" xfId="0" applyFill="1" applyBorder="1" applyAlignment="1">
      <alignment horizontal="left" vertical="center" indent="5"/>
    </xf>
    <xf numFmtId="0" fontId="0" fillId="34" borderId="19" xfId="0" applyFill="1" applyBorder="1" applyAlignment="1">
      <alignment horizontal="left" indent="3"/>
    </xf>
    <xf numFmtId="0" fontId="43" fillId="34" borderId="19" xfId="0" applyFont="1" applyFill="1" applyBorder="1" applyAlignment="1">
      <alignment horizontal="left" indent="2"/>
    </xf>
    <xf numFmtId="0" fontId="0" fillId="34" borderId="19" xfId="0" applyFont="1" applyFill="1" applyBorder="1" applyAlignment="1">
      <alignment horizontal="left" vertical="center" indent="3"/>
    </xf>
    <xf numFmtId="0" fontId="0" fillId="34" borderId="19" xfId="0" applyFont="1" applyFill="1" applyBorder="1" applyAlignment="1">
      <alignment horizontal="left" indent="3"/>
    </xf>
    <xf numFmtId="0" fontId="0" fillId="34" borderId="15" xfId="0" applyFill="1" applyBorder="1" applyAlignment="1" applyProtection="1">
      <alignment horizontal="left" vertical="center" wrapText="1" indent="6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>
      <alignment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>
      <alignment/>
    </xf>
    <xf numFmtId="4" fontId="0" fillId="34" borderId="15" xfId="47" applyNumberFormat="1" applyFont="1" applyFill="1" applyBorder="1" applyAlignment="1">
      <alignment/>
    </xf>
    <xf numFmtId="4" fontId="43" fillId="0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33" borderId="16" xfId="47" applyNumberFormat="1" applyFont="1" applyFill="1" applyBorder="1" applyAlignment="1">
      <alignment/>
    </xf>
    <xf numFmtId="4" fontId="0" fillId="33" borderId="16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 vertical="center"/>
    </xf>
    <xf numFmtId="4" fontId="0" fillId="0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/>
    </xf>
    <xf numFmtId="4" fontId="0" fillId="0" borderId="15" xfId="47" applyNumberFormat="1" applyFont="1" applyFill="1" applyBorder="1" applyAlignment="1" applyProtection="1">
      <alignment/>
      <protection locked="0"/>
    </xf>
    <xf numFmtId="4" fontId="43" fillId="34" borderId="17" xfId="47" applyNumberFormat="1" applyFont="1" applyFill="1" applyBorder="1" applyAlignment="1" applyProtection="1">
      <alignment vertical="center"/>
      <protection locked="0"/>
    </xf>
    <xf numFmtId="4" fontId="43" fillId="34" borderId="20" xfId="47" applyNumberFormat="1" applyFont="1" applyFill="1" applyBorder="1" applyAlignment="1" applyProtection="1">
      <alignment vertical="center"/>
      <protection locked="0"/>
    </xf>
    <xf numFmtId="4" fontId="0" fillId="34" borderId="19" xfId="47" applyNumberFormat="1" applyFont="1" applyFill="1" applyBorder="1" applyAlignment="1" applyProtection="1">
      <alignment vertical="center"/>
      <protection locked="0"/>
    </xf>
    <xf numFmtId="4" fontId="43" fillId="34" borderId="19" xfId="47" applyNumberFormat="1" applyFont="1" applyFill="1" applyBorder="1" applyAlignment="1" applyProtection="1">
      <alignment vertical="center"/>
      <protection locked="0"/>
    </xf>
    <xf numFmtId="4" fontId="0" fillId="34" borderId="19" xfId="47" applyNumberFormat="1" applyFont="1" applyFill="1" applyBorder="1" applyAlignment="1" applyProtection="1">
      <alignment vertical="center" wrapText="1"/>
      <protection locked="0"/>
    </xf>
    <xf numFmtId="4" fontId="0" fillId="34" borderId="19" xfId="47" applyNumberFormat="1" applyFont="1" applyFill="1" applyBorder="1" applyAlignment="1">
      <alignment vertical="center"/>
    </xf>
    <xf numFmtId="4" fontId="43" fillId="34" borderId="19" xfId="47" applyNumberFormat="1" applyFont="1" applyFill="1" applyBorder="1" applyAlignment="1" applyProtection="1">
      <alignment horizontal="right" vertical="center"/>
      <protection locked="0"/>
    </xf>
    <xf numFmtId="4" fontId="0" fillId="34" borderId="19" xfId="47" applyNumberFormat="1" applyFont="1" applyFill="1" applyBorder="1" applyAlignment="1" applyProtection="1">
      <alignment horizontal="right" vertical="center"/>
      <protection locked="0"/>
    </xf>
    <xf numFmtId="4" fontId="0" fillId="34" borderId="19" xfId="47" applyNumberFormat="1" applyFont="1" applyFill="1" applyBorder="1" applyAlignment="1">
      <alignment horizontal="right" vertical="center"/>
    </xf>
    <xf numFmtId="0" fontId="43" fillId="34" borderId="19" xfId="0" applyFont="1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6"/>
    </xf>
    <xf numFmtId="0" fontId="43" fillId="34" borderId="15" xfId="0" applyFont="1" applyFill="1" applyBorder="1" applyAlignment="1">
      <alignment horizontal="left" indent="6"/>
    </xf>
    <xf numFmtId="0" fontId="0" fillId="34" borderId="14" xfId="0" applyFill="1" applyBorder="1" applyAlignment="1">
      <alignment horizontal="center" vertical="center"/>
    </xf>
    <xf numFmtId="173" fontId="48" fillId="0" borderId="21" xfId="0" applyNumberFormat="1" applyFont="1" applyFill="1" applyBorder="1" applyAlignment="1">
      <alignment horizontal="right" vertical="center" wrapText="1" readingOrder="1"/>
    </xf>
    <xf numFmtId="173" fontId="48" fillId="0" borderId="22" xfId="0" applyNumberFormat="1" applyFont="1" applyFill="1" applyBorder="1" applyAlignment="1">
      <alignment horizontal="right" vertical="center" wrapText="1" readingOrder="1"/>
    </xf>
    <xf numFmtId="173" fontId="48" fillId="0" borderId="13" xfId="0" applyNumberFormat="1" applyFont="1" applyFill="1" applyBorder="1" applyAlignment="1">
      <alignment horizontal="right" vertical="center" wrapText="1" readingOrder="1"/>
    </xf>
    <xf numFmtId="173" fontId="48" fillId="0" borderId="23" xfId="0" applyNumberFormat="1" applyFont="1" applyFill="1" applyBorder="1" applyAlignment="1">
      <alignment horizontal="right" vertical="center" wrapText="1" readingOrder="1"/>
    </xf>
    <xf numFmtId="173" fontId="48" fillId="0" borderId="24" xfId="0" applyNumberFormat="1" applyFont="1" applyFill="1" applyBorder="1" applyAlignment="1">
      <alignment horizontal="right" vertical="center" wrapText="1" readingOrder="1"/>
    </xf>
    <xf numFmtId="4" fontId="0" fillId="34" borderId="15" xfId="47" applyNumberFormat="1" applyFont="1" applyFill="1" applyBorder="1" applyAlignment="1" applyProtection="1">
      <alignment vertical="center"/>
      <protection/>
    </xf>
    <xf numFmtId="0" fontId="44" fillId="34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9" fillId="34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75" zoomScaleNormal="75" zoomScalePageLayoutView="0" workbookViewId="0" topLeftCell="B1">
      <selection activeCell="D18" sqref="D18"/>
    </sheetView>
  </sheetViews>
  <sheetFormatPr defaultColWidth="0" defaultRowHeight="15" zeroHeight="1"/>
  <cols>
    <col min="1" max="1" width="90.8515625" style="0" customWidth="1"/>
    <col min="2" max="3" width="20.00390625" style="89" customWidth="1"/>
    <col min="4" max="4" width="94.421875" style="0" customWidth="1"/>
    <col min="5" max="6" width="20.00390625" style="89" customWidth="1"/>
    <col min="7" max="16384" width="11.421875" style="0" hidden="1" customWidth="1"/>
  </cols>
  <sheetData>
    <row r="1" spans="1:6" ht="21">
      <c r="A1" s="125" t="s">
        <v>0</v>
      </c>
      <c r="B1" s="125"/>
      <c r="C1" s="125"/>
      <c r="D1" s="125"/>
      <c r="E1" s="125"/>
      <c r="F1" s="125"/>
    </row>
    <row r="2" spans="1:6" ht="15">
      <c r="A2" s="126" t="s">
        <v>291</v>
      </c>
      <c r="B2" s="127"/>
      <c r="C2" s="127"/>
      <c r="D2" s="127"/>
      <c r="E2" s="127"/>
      <c r="F2" s="128"/>
    </row>
    <row r="3" spans="1:6" ht="15">
      <c r="A3" s="129" t="s">
        <v>1</v>
      </c>
      <c r="B3" s="130"/>
      <c r="C3" s="130"/>
      <c r="D3" s="130"/>
      <c r="E3" s="130"/>
      <c r="F3" s="131"/>
    </row>
    <row r="4" spans="1:6" ht="15">
      <c r="A4" s="132" t="s">
        <v>475</v>
      </c>
      <c r="B4" s="133"/>
      <c r="C4" s="133"/>
      <c r="D4" s="133"/>
      <c r="E4" s="133"/>
      <c r="F4" s="134"/>
    </row>
    <row r="5" spans="1:6" ht="15">
      <c r="A5" s="135" t="s">
        <v>2</v>
      </c>
      <c r="B5" s="136"/>
      <c r="C5" s="136"/>
      <c r="D5" s="136"/>
      <c r="E5" s="136"/>
      <c r="F5" s="137"/>
    </row>
    <row r="6" spans="1:6" ht="30">
      <c r="A6" s="1" t="s">
        <v>3</v>
      </c>
      <c r="B6" s="83" t="s">
        <v>476</v>
      </c>
      <c r="C6" s="90" t="s">
        <v>477</v>
      </c>
      <c r="D6" s="3" t="s">
        <v>4</v>
      </c>
      <c r="E6" s="83" t="s">
        <v>476</v>
      </c>
      <c r="F6" s="90" t="s">
        <v>477</v>
      </c>
    </row>
    <row r="7" spans="1:6" ht="15">
      <c r="A7" s="62" t="s">
        <v>5</v>
      </c>
      <c r="B7" s="84"/>
      <c r="C7" s="84"/>
      <c r="D7" s="73" t="s">
        <v>6</v>
      </c>
      <c r="E7" s="84"/>
      <c r="F7" s="84"/>
    </row>
    <row r="8" spans="1:6" ht="15">
      <c r="A8" s="62" t="s">
        <v>7</v>
      </c>
      <c r="B8" s="84"/>
      <c r="C8" s="84"/>
      <c r="D8" s="73" t="s">
        <v>8</v>
      </c>
      <c r="E8" s="84"/>
      <c r="F8" s="84"/>
    </row>
    <row r="9" spans="1:6" ht="15">
      <c r="A9" s="23" t="s">
        <v>9</v>
      </c>
      <c r="B9" s="87">
        <f>SUM(B10:B16)</f>
        <v>2667947362.5600004</v>
      </c>
      <c r="C9" s="87">
        <f>SUM(C10:C16)</f>
        <v>1779968186.48</v>
      </c>
      <c r="D9" s="115" t="s">
        <v>10</v>
      </c>
      <c r="E9" s="87">
        <f>SUM(E10:E18)</f>
        <v>123890837.2</v>
      </c>
      <c r="F9" s="87">
        <f>SUM(F10:F18)</f>
        <v>202328569.35999998</v>
      </c>
    </row>
    <row r="10" spans="1:6" ht="15">
      <c r="A10" s="75" t="s">
        <v>11</v>
      </c>
      <c r="B10" s="85">
        <v>863800</v>
      </c>
      <c r="C10" s="85">
        <v>783800</v>
      </c>
      <c r="D10" s="76" t="s">
        <v>12</v>
      </c>
      <c r="E10" s="85">
        <v>0</v>
      </c>
      <c r="F10" s="85">
        <v>0</v>
      </c>
    </row>
    <row r="11" spans="1:6" ht="15">
      <c r="A11" s="75" t="s">
        <v>13</v>
      </c>
      <c r="B11" s="85">
        <v>86316552.17</v>
      </c>
      <c r="C11" s="85">
        <v>42381382.97</v>
      </c>
      <c r="D11" s="76" t="s">
        <v>14</v>
      </c>
      <c r="E11" s="85">
        <v>12551111.51</v>
      </c>
      <c r="F11" s="85">
        <v>13871663.26</v>
      </c>
    </row>
    <row r="12" spans="1:6" ht="15">
      <c r="A12" s="75" t="s">
        <v>15</v>
      </c>
      <c r="B12" s="85">
        <v>0</v>
      </c>
      <c r="C12" s="85">
        <v>0</v>
      </c>
      <c r="D12" s="76" t="s">
        <v>16</v>
      </c>
      <c r="E12" s="85">
        <v>0</v>
      </c>
      <c r="F12" s="85">
        <v>34018319.66</v>
      </c>
    </row>
    <row r="13" spans="1:6" ht="15">
      <c r="A13" s="75" t="s">
        <v>17</v>
      </c>
      <c r="B13" s="85">
        <v>2440617574.07</v>
      </c>
      <c r="C13" s="85">
        <v>1617688960.86</v>
      </c>
      <c r="D13" s="76" t="s">
        <v>18</v>
      </c>
      <c r="E13" s="85">
        <v>0</v>
      </c>
      <c r="F13" s="85">
        <v>20071533</v>
      </c>
    </row>
    <row r="14" spans="1:6" ht="15">
      <c r="A14" s="75" t="s">
        <v>19</v>
      </c>
      <c r="B14" s="85">
        <v>0</v>
      </c>
      <c r="C14" s="85">
        <v>0</v>
      </c>
      <c r="D14" s="76" t="s">
        <v>20</v>
      </c>
      <c r="E14" s="85">
        <v>27809009.7</v>
      </c>
      <c r="F14" s="85">
        <v>24917900.5</v>
      </c>
    </row>
    <row r="15" spans="1:6" ht="15">
      <c r="A15" s="75" t="s">
        <v>21</v>
      </c>
      <c r="B15" s="85">
        <v>140149436.32</v>
      </c>
      <c r="C15" s="85">
        <v>119114042.65</v>
      </c>
      <c r="D15" s="76" t="s">
        <v>22</v>
      </c>
      <c r="E15" s="85">
        <v>0</v>
      </c>
      <c r="F15" s="85">
        <v>0</v>
      </c>
    </row>
    <row r="16" spans="1:6" ht="15">
      <c r="A16" s="75" t="s">
        <v>23</v>
      </c>
      <c r="B16" s="85">
        <v>0</v>
      </c>
      <c r="C16" s="85">
        <v>0</v>
      </c>
      <c r="D16" s="76" t="s">
        <v>24</v>
      </c>
      <c r="E16" s="85">
        <v>37230113.88</v>
      </c>
      <c r="F16" s="85">
        <v>73600280.19</v>
      </c>
    </row>
    <row r="17" spans="1:6" ht="15">
      <c r="A17" s="23" t="s">
        <v>25</v>
      </c>
      <c r="B17" s="87">
        <f>SUM(B18:B24)</f>
        <v>76076149.13</v>
      </c>
      <c r="C17" s="87">
        <f>SUM(C18:C24)</f>
        <v>48195576.67</v>
      </c>
      <c r="D17" s="76" t="s">
        <v>26</v>
      </c>
      <c r="E17" s="85">
        <v>0</v>
      </c>
      <c r="F17" s="85">
        <v>0</v>
      </c>
    </row>
    <row r="18" spans="1:6" ht="15">
      <c r="A18" s="77" t="s">
        <v>27</v>
      </c>
      <c r="B18" s="85">
        <v>0</v>
      </c>
      <c r="C18" s="85">
        <v>0</v>
      </c>
      <c r="D18" s="76" t="s">
        <v>28</v>
      </c>
      <c r="E18" s="85">
        <v>46300602.11</v>
      </c>
      <c r="F18" s="85">
        <v>35848872.75</v>
      </c>
    </row>
    <row r="19" spans="1:6" ht="15">
      <c r="A19" s="77" t="s">
        <v>29</v>
      </c>
      <c r="B19" s="85">
        <v>0</v>
      </c>
      <c r="C19" s="85">
        <v>0</v>
      </c>
      <c r="D19" s="115" t="s">
        <v>30</v>
      </c>
      <c r="E19" s="87">
        <f>SUM(E20:E22)</f>
        <v>0</v>
      </c>
      <c r="F19" s="87">
        <f>SUM(F20:F22)</f>
        <v>0</v>
      </c>
    </row>
    <row r="20" spans="1:6" ht="15">
      <c r="A20" s="77" t="s">
        <v>31</v>
      </c>
      <c r="B20" s="85">
        <v>18506208.38</v>
      </c>
      <c r="C20" s="85">
        <v>3152626.27</v>
      </c>
      <c r="D20" s="76" t="s">
        <v>32</v>
      </c>
      <c r="E20" s="85">
        <v>0</v>
      </c>
      <c r="F20" s="85">
        <v>0</v>
      </c>
    </row>
    <row r="21" spans="1:6" ht="15">
      <c r="A21" s="77" t="s">
        <v>33</v>
      </c>
      <c r="B21" s="85">
        <v>657614.2</v>
      </c>
      <c r="C21" s="85">
        <v>1007459</v>
      </c>
      <c r="D21" s="76" t="s">
        <v>34</v>
      </c>
      <c r="E21" s="85">
        <v>0</v>
      </c>
      <c r="F21" s="85">
        <v>0</v>
      </c>
    </row>
    <row r="22" spans="1:6" ht="15">
      <c r="A22" s="77" t="s">
        <v>35</v>
      </c>
      <c r="B22" s="85">
        <v>21286187.15</v>
      </c>
      <c r="C22" s="85">
        <v>8394952</v>
      </c>
      <c r="D22" s="76" t="s">
        <v>36</v>
      </c>
      <c r="E22" s="85">
        <v>0</v>
      </c>
      <c r="F22" s="85">
        <v>0</v>
      </c>
    </row>
    <row r="23" spans="1:6" ht="15">
      <c r="A23" s="77" t="s">
        <v>37</v>
      </c>
      <c r="B23" s="85">
        <v>35626139.4</v>
      </c>
      <c r="C23" s="85">
        <v>35640539.4</v>
      </c>
      <c r="D23" s="115" t="s">
        <v>38</v>
      </c>
      <c r="E23" s="87">
        <f>E24+E25</f>
        <v>28416646.41</v>
      </c>
      <c r="F23" s="87">
        <f>F24+F25</f>
        <v>37230989.69</v>
      </c>
    </row>
    <row r="24" spans="1:6" ht="15">
      <c r="A24" s="77" t="s">
        <v>39</v>
      </c>
      <c r="B24" s="85">
        <v>0</v>
      </c>
      <c r="C24" s="85">
        <v>0</v>
      </c>
      <c r="D24" s="76" t="s">
        <v>40</v>
      </c>
      <c r="E24" s="85">
        <v>28416646.41</v>
      </c>
      <c r="F24" s="85">
        <v>37230989.69</v>
      </c>
    </row>
    <row r="25" spans="1:6" ht="15">
      <c r="A25" s="23" t="s">
        <v>41</v>
      </c>
      <c r="B25" s="87">
        <f>SUM(B26:B30)</f>
        <v>54970613.87</v>
      </c>
      <c r="C25" s="87">
        <f>SUM(C26:C30)</f>
        <v>72920174.1</v>
      </c>
      <c r="D25" s="76" t="s">
        <v>42</v>
      </c>
      <c r="E25" s="85">
        <v>0</v>
      </c>
      <c r="F25" s="85">
        <v>0</v>
      </c>
    </row>
    <row r="26" spans="1:6" ht="15">
      <c r="A26" s="77" t="s">
        <v>43</v>
      </c>
      <c r="B26" s="85">
        <v>0</v>
      </c>
      <c r="C26" s="85">
        <v>0</v>
      </c>
      <c r="D26" s="115" t="s">
        <v>44</v>
      </c>
      <c r="E26" s="87">
        <v>0</v>
      </c>
      <c r="F26" s="87">
        <v>0</v>
      </c>
    </row>
    <row r="27" spans="1:6" ht="15">
      <c r="A27" s="77" t="s">
        <v>45</v>
      </c>
      <c r="B27" s="85">
        <v>922000</v>
      </c>
      <c r="C27" s="85">
        <v>16413219.7</v>
      </c>
      <c r="D27" s="115" t="s">
        <v>46</v>
      </c>
      <c r="E27" s="87">
        <f>SUM(E28:E30)</f>
        <v>0</v>
      </c>
      <c r="F27" s="87">
        <f>SUM(F28:F30)</f>
        <v>0</v>
      </c>
    </row>
    <row r="28" spans="1:6" ht="15">
      <c r="A28" s="77" t="s">
        <v>47</v>
      </c>
      <c r="B28" s="85">
        <v>0</v>
      </c>
      <c r="C28" s="85">
        <v>0</v>
      </c>
      <c r="D28" s="76" t="s">
        <v>48</v>
      </c>
      <c r="E28" s="85">
        <v>0</v>
      </c>
      <c r="F28" s="85">
        <v>0</v>
      </c>
    </row>
    <row r="29" spans="1:6" ht="15">
      <c r="A29" s="77" t="s">
        <v>49</v>
      </c>
      <c r="B29" s="85">
        <v>54048613.87</v>
      </c>
      <c r="C29" s="85">
        <v>56506954.4</v>
      </c>
      <c r="D29" s="76" t="s">
        <v>50</v>
      </c>
      <c r="E29" s="85">
        <v>0</v>
      </c>
      <c r="F29" s="85">
        <v>0</v>
      </c>
    </row>
    <row r="30" spans="1:6" ht="15">
      <c r="A30" s="77" t="s">
        <v>51</v>
      </c>
      <c r="B30" s="85">
        <v>0</v>
      </c>
      <c r="C30" s="85">
        <v>0</v>
      </c>
      <c r="D30" s="76" t="s">
        <v>52</v>
      </c>
      <c r="E30" s="85">
        <v>0</v>
      </c>
      <c r="F30" s="85">
        <v>0</v>
      </c>
    </row>
    <row r="31" spans="1:6" ht="15">
      <c r="A31" s="23" t="s">
        <v>53</v>
      </c>
      <c r="B31" s="87">
        <f>SUM(B32:B36)</f>
        <v>0</v>
      </c>
      <c r="C31" s="87">
        <f>SUM(C32:C36)</f>
        <v>0</v>
      </c>
      <c r="D31" s="115" t="s">
        <v>54</v>
      </c>
      <c r="E31" s="87">
        <f>SUM(E32:E37)</f>
        <v>136631004.12</v>
      </c>
      <c r="F31" s="87">
        <f>SUM(F32:F37)</f>
        <v>116848527.85999998</v>
      </c>
    </row>
    <row r="32" spans="1:6" ht="15">
      <c r="A32" s="77" t="s">
        <v>55</v>
      </c>
      <c r="B32" s="85">
        <v>0</v>
      </c>
      <c r="C32" s="85">
        <v>0</v>
      </c>
      <c r="D32" s="76" t="s">
        <v>56</v>
      </c>
      <c r="E32" s="85">
        <v>74172642.53</v>
      </c>
      <c r="F32" s="85">
        <v>72273736.74</v>
      </c>
    </row>
    <row r="33" spans="1:6" ht="15">
      <c r="A33" s="77" t="s">
        <v>57</v>
      </c>
      <c r="B33" s="85">
        <v>0</v>
      </c>
      <c r="C33" s="85">
        <v>0</v>
      </c>
      <c r="D33" s="76" t="s">
        <v>58</v>
      </c>
      <c r="E33" s="85">
        <v>62458361.59</v>
      </c>
      <c r="F33" s="85">
        <v>44574791.12</v>
      </c>
    </row>
    <row r="34" spans="1:6" ht="15">
      <c r="A34" s="77" t="s">
        <v>59</v>
      </c>
      <c r="B34" s="85">
        <v>0</v>
      </c>
      <c r="C34" s="85">
        <v>0</v>
      </c>
      <c r="D34" s="76" t="s">
        <v>60</v>
      </c>
      <c r="E34" s="85">
        <v>0</v>
      </c>
      <c r="F34" s="85">
        <v>0</v>
      </c>
    </row>
    <row r="35" spans="1:6" ht="15">
      <c r="A35" s="77" t="s">
        <v>61</v>
      </c>
      <c r="B35" s="85">
        <v>0</v>
      </c>
      <c r="C35" s="85">
        <v>0</v>
      </c>
      <c r="D35" s="76" t="s">
        <v>62</v>
      </c>
      <c r="E35" s="85">
        <v>0</v>
      </c>
      <c r="F35" s="85">
        <v>0</v>
      </c>
    </row>
    <row r="36" spans="1:6" ht="15">
      <c r="A36" s="77" t="s">
        <v>63</v>
      </c>
      <c r="B36" s="85">
        <v>0</v>
      </c>
      <c r="C36" s="85">
        <v>0</v>
      </c>
      <c r="D36" s="76" t="s">
        <v>64</v>
      </c>
      <c r="E36" s="85">
        <v>0</v>
      </c>
      <c r="F36" s="85">
        <v>0</v>
      </c>
    </row>
    <row r="37" spans="1:6" ht="15">
      <c r="A37" s="23" t="s">
        <v>65</v>
      </c>
      <c r="B37" s="85">
        <v>0</v>
      </c>
      <c r="C37" s="85">
        <v>0</v>
      </c>
      <c r="D37" s="76" t="s">
        <v>66</v>
      </c>
      <c r="E37" s="85">
        <v>0</v>
      </c>
      <c r="F37" s="85">
        <v>0</v>
      </c>
    </row>
    <row r="38" spans="1:6" ht="15">
      <c r="A38" s="23" t="s">
        <v>67</v>
      </c>
      <c r="B38" s="87">
        <f>SUM(B39:B40)</f>
        <v>0</v>
      </c>
      <c r="C38" s="87">
        <f>SUM(C39:C40)</f>
        <v>0</v>
      </c>
      <c r="D38" s="115" t="s">
        <v>68</v>
      </c>
      <c r="E38" s="87">
        <f>SUM(E39:E41)</f>
        <v>0</v>
      </c>
      <c r="F38" s="87">
        <f>SUM(F39:F41)</f>
        <v>0</v>
      </c>
    </row>
    <row r="39" spans="1:6" ht="15">
      <c r="A39" s="77" t="s">
        <v>69</v>
      </c>
      <c r="B39" s="85">
        <v>0</v>
      </c>
      <c r="C39" s="85">
        <v>0</v>
      </c>
      <c r="D39" s="76" t="s">
        <v>70</v>
      </c>
      <c r="E39" s="85">
        <v>0</v>
      </c>
      <c r="F39" s="85">
        <v>0</v>
      </c>
    </row>
    <row r="40" spans="1:6" ht="15">
      <c r="A40" s="77" t="s">
        <v>71</v>
      </c>
      <c r="B40" s="85">
        <v>0</v>
      </c>
      <c r="C40" s="85">
        <v>0</v>
      </c>
      <c r="D40" s="76" t="s">
        <v>72</v>
      </c>
      <c r="E40" s="85">
        <v>0</v>
      </c>
      <c r="F40" s="85">
        <v>0</v>
      </c>
    </row>
    <row r="41" spans="1:6" ht="15">
      <c r="A41" s="23" t="s">
        <v>73</v>
      </c>
      <c r="B41" s="87">
        <f>SUM(B42:B45)</f>
        <v>400745</v>
      </c>
      <c r="C41" s="87">
        <f>SUM(C42:C45)</f>
        <v>368745</v>
      </c>
      <c r="D41" s="76" t="s">
        <v>74</v>
      </c>
      <c r="E41" s="85">
        <v>0</v>
      </c>
      <c r="F41" s="85">
        <v>0</v>
      </c>
    </row>
    <row r="42" spans="1:6" ht="15">
      <c r="A42" s="77" t="s">
        <v>75</v>
      </c>
      <c r="B42" s="85">
        <v>400745</v>
      </c>
      <c r="C42" s="85">
        <v>368745</v>
      </c>
      <c r="D42" s="115" t="s">
        <v>76</v>
      </c>
      <c r="E42" s="87">
        <f>SUM(E43:E45)</f>
        <v>0</v>
      </c>
      <c r="F42" s="87">
        <f>SUM(F43:F45)</f>
        <v>0</v>
      </c>
    </row>
    <row r="43" spans="1:6" ht="15">
      <c r="A43" s="77" t="s">
        <v>77</v>
      </c>
      <c r="B43" s="85">
        <v>0</v>
      </c>
      <c r="C43" s="85">
        <v>0</v>
      </c>
      <c r="D43" s="76" t="s">
        <v>78</v>
      </c>
      <c r="E43" s="85">
        <v>0</v>
      </c>
      <c r="F43" s="85">
        <v>0</v>
      </c>
    </row>
    <row r="44" spans="1:6" ht="15">
      <c r="A44" s="77" t="s">
        <v>79</v>
      </c>
      <c r="B44" s="85">
        <v>0</v>
      </c>
      <c r="C44" s="85">
        <v>0</v>
      </c>
      <c r="D44" s="76" t="s">
        <v>80</v>
      </c>
      <c r="E44" s="85">
        <v>0</v>
      </c>
      <c r="F44" s="85">
        <v>0</v>
      </c>
    </row>
    <row r="45" spans="1:6" ht="15">
      <c r="A45" s="77" t="s">
        <v>81</v>
      </c>
      <c r="B45" s="85">
        <v>0</v>
      </c>
      <c r="C45" s="85">
        <v>0</v>
      </c>
      <c r="D45" s="76" t="s">
        <v>82</v>
      </c>
      <c r="E45" s="85">
        <v>0</v>
      </c>
      <c r="F45" s="85">
        <v>0</v>
      </c>
    </row>
    <row r="46" spans="1:6" ht="15">
      <c r="A46" s="34"/>
      <c r="B46" s="86"/>
      <c r="C46" s="86"/>
      <c r="D46" s="34"/>
      <c r="E46" s="86"/>
      <c r="F46" s="86"/>
    </row>
    <row r="47" spans="1:6" ht="15">
      <c r="A47" s="23" t="s">
        <v>83</v>
      </c>
      <c r="B47" s="87">
        <f>B9+B17+B25+B31+B38+B41</f>
        <v>2799394870.5600004</v>
      </c>
      <c r="C47" s="87">
        <f>C9+C17+C25+C31+C38+C41</f>
        <v>1901452682.25</v>
      </c>
      <c r="D47" s="73" t="s">
        <v>84</v>
      </c>
      <c r="E47" s="87">
        <f>E9+E19+E23+E26+E27+E31+E38+E42</f>
        <v>288938487.73</v>
      </c>
      <c r="F47" s="87">
        <f>F9+F19+F23+F26+F27+F31+F38+F42</f>
        <v>356408086.90999997</v>
      </c>
    </row>
    <row r="48" spans="1:6" ht="15">
      <c r="A48" s="34"/>
      <c r="B48" s="86"/>
      <c r="C48" s="86"/>
      <c r="D48" s="34"/>
      <c r="E48" s="86"/>
      <c r="F48" s="86"/>
    </row>
    <row r="49" spans="1:6" ht="15">
      <c r="A49" s="62" t="s">
        <v>85</v>
      </c>
      <c r="B49" s="86"/>
      <c r="C49" s="86"/>
      <c r="D49" s="73" t="s">
        <v>86</v>
      </c>
      <c r="E49" s="86"/>
      <c r="F49" s="86"/>
    </row>
    <row r="50" spans="1:6" ht="15">
      <c r="A50" s="22" t="s">
        <v>87</v>
      </c>
      <c r="B50" s="85">
        <v>13328869</v>
      </c>
      <c r="C50" s="85">
        <v>314030</v>
      </c>
      <c r="D50" s="74" t="s">
        <v>88</v>
      </c>
      <c r="E50" s="85">
        <v>0</v>
      </c>
      <c r="F50" s="85">
        <v>0</v>
      </c>
    </row>
    <row r="51" spans="1:6" ht="15">
      <c r="A51" s="22" t="s">
        <v>89</v>
      </c>
      <c r="B51" s="85">
        <v>388764599.56</v>
      </c>
      <c r="C51" s="85">
        <v>425819052.89</v>
      </c>
      <c r="D51" s="74" t="s">
        <v>90</v>
      </c>
      <c r="E51" s="85">
        <v>0</v>
      </c>
      <c r="F51" s="85">
        <v>0</v>
      </c>
    </row>
    <row r="52" spans="1:6" ht="15">
      <c r="A52" s="22" t="s">
        <v>91</v>
      </c>
      <c r="B52" s="85">
        <v>11602536442.33</v>
      </c>
      <c r="C52" s="85">
        <v>11147083767.6</v>
      </c>
      <c r="D52" s="74" t="s">
        <v>92</v>
      </c>
      <c r="E52" s="85">
        <v>2299684646.47</v>
      </c>
      <c r="F52" s="85">
        <v>2299684646.47</v>
      </c>
    </row>
    <row r="53" spans="1:6" ht="15">
      <c r="A53" s="22" t="s">
        <v>93</v>
      </c>
      <c r="B53" s="85">
        <v>1584301859.65</v>
      </c>
      <c r="C53" s="85">
        <v>1591067388.41</v>
      </c>
      <c r="D53" s="74" t="s">
        <v>94</v>
      </c>
      <c r="E53" s="85">
        <v>13200000</v>
      </c>
      <c r="F53" s="85">
        <v>13200000</v>
      </c>
    </row>
    <row r="54" spans="1:6" ht="15">
      <c r="A54" s="22" t="s">
        <v>95</v>
      </c>
      <c r="B54" s="85">
        <v>57653846.65</v>
      </c>
      <c r="C54" s="85">
        <v>57727985.61</v>
      </c>
      <c r="D54" s="74" t="s">
        <v>96</v>
      </c>
      <c r="E54" s="85">
        <v>0</v>
      </c>
      <c r="F54" s="85">
        <v>0</v>
      </c>
    </row>
    <row r="55" spans="1:6" ht="15">
      <c r="A55" s="22" t="s">
        <v>97</v>
      </c>
      <c r="B55" s="85">
        <v>-1189312134.77</v>
      </c>
      <c r="C55" s="85">
        <v>-1198843330.49</v>
      </c>
      <c r="D55" s="78" t="s">
        <v>98</v>
      </c>
      <c r="E55" s="85">
        <v>0</v>
      </c>
      <c r="F55" s="85">
        <v>0</v>
      </c>
    </row>
    <row r="56" spans="1:6" ht="15">
      <c r="A56" s="22" t="s">
        <v>99</v>
      </c>
      <c r="B56" s="85">
        <v>0</v>
      </c>
      <c r="C56" s="85">
        <v>0</v>
      </c>
      <c r="D56" s="34"/>
      <c r="E56" s="86"/>
      <c r="F56" s="86"/>
    </row>
    <row r="57" spans="1:6" ht="15">
      <c r="A57" s="22" t="s">
        <v>100</v>
      </c>
      <c r="B57" s="85">
        <v>0</v>
      </c>
      <c r="C57" s="85">
        <v>0</v>
      </c>
      <c r="D57" s="73" t="s">
        <v>101</v>
      </c>
      <c r="E57" s="87">
        <f>SUM(E50:E55)</f>
        <v>2312884646.47</v>
      </c>
      <c r="F57" s="87">
        <f>SUM(F50:F55)</f>
        <v>2312884646.47</v>
      </c>
    </row>
    <row r="58" spans="1:6" ht="15">
      <c r="A58" s="22" t="s">
        <v>102</v>
      </c>
      <c r="B58" s="85">
        <v>0</v>
      </c>
      <c r="C58" s="85">
        <v>0</v>
      </c>
      <c r="D58" s="34"/>
      <c r="E58" s="86"/>
      <c r="F58" s="86"/>
    </row>
    <row r="59" spans="1:6" ht="15">
      <c r="A59" s="34"/>
      <c r="B59" s="86"/>
      <c r="C59" s="86"/>
      <c r="D59" s="73" t="s">
        <v>103</v>
      </c>
      <c r="E59" s="87">
        <f>E47+E57</f>
        <v>2601823134.2</v>
      </c>
      <c r="F59" s="87">
        <f>F47+F57</f>
        <v>2669292733.3799996</v>
      </c>
    </row>
    <row r="60" spans="1:6" ht="15">
      <c r="A60" s="23" t="s">
        <v>104</v>
      </c>
      <c r="B60" s="87">
        <f>SUM(B50:B58)</f>
        <v>12457273482.419998</v>
      </c>
      <c r="C60" s="87">
        <f>SUM(C50:C58)</f>
        <v>12023168894.02</v>
      </c>
      <c r="D60" s="34"/>
      <c r="E60" s="86"/>
      <c r="F60" s="86"/>
    </row>
    <row r="61" spans="1:6" ht="15">
      <c r="A61" s="34"/>
      <c r="B61" s="86"/>
      <c r="C61" s="86"/>
      <c r="D61" s="79" t="s">
        <v>105</v>
      </c>
      <c r="E61" s="86"/>
      <c r="F61" s="86"/>
    </row>
    <row r="62" spans="1:6" ht="15">
      <c r="A62" s="23" t="s">
        <v>106</v>
      </c>
      <c r="B62" s="87">
        <f>SUM(B47+B60)</f>
        <v>15256668352.98</v>
      </c>
      <c r="C62" s="87">
        <f>SUM(C47+C60)</f>
        <v>13924621576.27</v>
      </c>
      <c r="D62" s="34"/>
      <c r="E62" s="86"/>
      <c r="F62" s="86"/>
    </row>
    <row r="63" spans="1:6" ht="15">
      <c r="A63" s="34"/>
      <c r="B63" s="84"/>
      <c r="C63" s="84"/>
      <c r="D63" s="73" t="s">
        <v>107</v>
      </c>
      <c r="E63" s="87">
        <f>SUM(E64:E66)</f>
        <v>3511589125.4700003</v>
      </c>
      <c r="F63" s="87">
        <f>SUM(F64:F66)</f>
        <v>3566364803.56</v>
      </c>
    </row>
    <row r="64" spans="1:6" ht="15">
      <c r="A64" s="34"/>
      <c r="B64" s="84"/>
      <c r="C64" s="84"/>
      <c r="D64" s="80" t="s">
        <v>108</v>
      </c>
      <c r="E64" s="85">
        <v>3101025921.71</v>
      </c>
      <c r="F64" s="85">
        <v>3157633651.04</v>
      </c>
    </row>
    <row r="65" spans="1:6" ht="15">
      <c r="A65" s="34"/>
      <c r="B65" s="84"/>
      <c r="C65" s="84"/>
      <c r="D65" s="81" t="s">
        <v>109</v>
      </c>
      <c r="E65" s="85">
        <v>410563203.76</v>
      </c>
      <c r="F65" s="85">
        <v>408731152.52</v>
      </c>
    </row>
    <row r="66" spans="1:6" ht="15">
      <c r="A66" s="34"/>
      <c r="B66" s="84"/>
      <c r="C66" s="84"/>
      <c r="D66" s="80" t="s">
        <v>110</v>
      </c>
      <c r="E66" s="85">
        <v>0</v>
      </c>
      <c r="F66" s="85">
        <v>0</v>
      </c>
    </row>
    <row r="67" spans="1:6" ht="15">
      <c r="A67" s="34"/>
      <c r="B67" s="84"/>
      <c r="C67" s="84"/>
      <c r="D67" s="34"/>
      <c r="E67" s="86"/>
      <c r="F67" s="86"/>
    </row>
    <row r="68" spans="1:6" ht="15">
      <c r="A68" s="34"/>
      <c r="B68" s="84"/>
      <c r="C68" s="84"/>
      <c r="D68" s="73" t="s">
        <v>111</v>
      </c>
      <c r="E68" s="87">
        <f>SUM(E69:E73)</f>
        <v>9143256093.31</v>
      </c>
      <c r="F68" s="87">
        <f>SUM(F69:F73)</f>
        <v>7688964039.330004</v>
      </c>
    </row>
    <row r="69" spans="1:6" ht="15">
      <c r="A69" s="59"/>
      <c r="B69" s="84"/>
      <c r="C69" s="84"/>
      <c r="D69" s="80" t="s">
        <v>112</v>
      </c>
      <c r="E69" s="85">
        <v>1428539793.27</v>
      </c>
      <c r="F69" s="85">
        <v>2412406774.710003</v>
      </c>
    </row>
    <row r="70" spans="1:6" ht="15">
      <c r="A70" s="59"/>
      <c r="B70" s="84"/>
      <c r="C70" s="84"/>
      <c r="D70" s="80" t="s">
        <v>113</v>
      </c>
      <c r="E70" s="85">
        <v>7244875531.64</v>
      </c>
      <c r="F70" s="85">
        <v>4802115675.1</v>
      </c>
    </row>
    <row r="71" spans="1:6" ht="15">
      <c r="A71" s="59"/>
      <c r="B71" s="84"/>
      <c r="C71" s="84"/>
      <c r="D71" s="80" t="s">
        <v>114</v>
      </c>
      <c r="E71" s="85">
        <v>469840768.4</v>
      </c>
      <c r="F71" s="85">
        <v>474441589.52</v>
      </c>
    </row>
    <row r="72" spans="1:6" ht="15">
      <c r="A72" s="59"/>
      <c r="B72" s="84"/>
      <c r="C72" s="84"/>
      <c r="D72" s="80" t="s">
        <v>115</v>
      </c>
      <c r="E72" s="85">
        <v>0</v>
      </c>
      <c r="F72" s="85">
        <v>0</v>
      </c>
    </row>
    <row r="73" spans="1:6" ht="15">
      <c r="A73" s="59"/>
      <c r="B73" s="84"/>
      <c r="C73" s="84"/>
      <c r="D73" s="80" t="s">
        <v>116</v>
      </c>
      <c r="E73" s="85">
        <v>0</v>
      </c>
      <c r="F73" s="85">
        <v>0</v>
      </c>
    </row>
    <row r="74" spans="1:6" ht="15">
      <c r="A74" s="59"/>
      <c r="B74" s="84"/>
      <c r="C74" s="84"/>
      <c r="D74" s="34"/>
      <c r="E74" s="86"/>
      <c r="F74" s="86"/>
    </row>
    <row r="75" spans="1:6" ht="15">
      <c r="A75" s="59"/>
      <c r="B75" s="84"/>
      <c r="C75" s="84"/>
      <c r="D75" s="73" t="s">
        <v>117</v>
      </c>
      <c r="E75" s="87">
        <f>E76+E77</f>
        <v>0</v>
      </c>
      <c r="F75" s="87">
        <f>F76+F77</f>
        <v>0</v>
      </c>
    </row>
    <row r="76" spans="1:6" ht="15">
      <c r="A76" s="59"/>
      <c r="B76" s="84"/>
      <c r="C76" s="84"/>
      <c r="D76" s="74" t="s">
        <v>118</v>
      </c>
      <c r="E76" s="85">
        <v>0</v>
      </c>
      <c r="F76" s="85">
        <v>0</v>
      </c>
    </row>
    <row r="77" spans="1:6" ht="15">
      <c r="A77" s="59"/>
      <c r="B77" s="84"/>
      <c r="C77" s="84"/>
      <c r="D77" s="74" t="s">
        <v>119</v>
      </c>
      <c r="E77" s="85">
        <v>0</v>
      </c>
      <c r="F77" s="85">
        <v>0</v>
      </c>
    </row>
    <row r="78" spans="1:6" ht="15">
      <c r="A78" s="59"/>
      <c r="B78" s="84"/>
      <c r="C78" s="84"/>
      <c r="D78" s="34"/>
      <c r="E78" s="86"/>
      <c r="F78" s="86"/>
    </row>
    <row r="79" spans="1:6" ht="15">
      <c r="A79" s="59"/>
      <c r="B79" s="84"/>
      <c r="C79" s="84"/>
      <c r="D79" s="73" t="s">
        <v>120</v>
      </c>
      <c r="E79" s="87">
        <f>E63+E68+E75</f>
        <v>12654845218.779999</v>
      </c>
      <c r="F79" s="87">
        <f>F63+F68+F75</f>
        <v>11255328842.890003</v>
      </c>
    </row>
    <row r="80" spans="1:6" ht="15">
      <c r="A80" s="59"/>
      <c r="B80" s="84"/>
      <c r="C80" s="84"/>
      <c r="D80" s="34"/>
      <c r="E80" s="86"/>
      <c r="F80" s="86"/>
    </row>
    <row r="81" spans="1:6" ht="15">
      <c r="A81" s="59"/>
      <c r="B81" s="84"/>
      <c r="C81" s="84"/>
      <c r="D81" s="73" t="s">
        <v>121</v>
      </c>
      <c r="E81" s="87">
        <f>E59+E79</f>
        <v>15256668352.98</v>
      </c>
      <c r="F81" s="87">
        <f>F59+F79</f>
        <v>13924621576.270002</v>
      </c>
    </row>
    <row r="82" spans="1:6" ht="15">
      <c r="A82" s="43"/>
      <c r="B82" s="88"/>
      <c r="C82" s="88"/>
      <c r="D82" s="35"/>
      <c r="E82" s="88"/>
      <c r="F82" s="88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9">
      <selection activeCell="A20" sqref="A20"/>
    </sheetView>
  </sheetViews>
  <sheetFormatPr defaultColWidth="0" defaultRowHeight="15" zeroHeight="1"/>
  <cols>
    <col min="1" max="1" width="59.140625" style="0" customWidth="1"/>
    <col min="2" max="2" width="18.8515625" style="89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16384" width="11.421875" style="0" hidden="1" customWidth="1"/>
  </cols>
  <sheetData>
    <row r="1" spans="1:8" ht="26.25">
      <c r="A1" s="140" t="s">
        <v>122</v>
      </c>
      <c r="B1" s="140"/>
      <c r="C1" s="140"/>
      <c r="D1" s="140"/>
      <c r="E1" s="140"/>
      <c r="F1" s="140"/>
      <c r="G1" s="140"/>
      <c r="H1" s="140"/>
    </row>
    <row r="2" spans="1:8" ht="15">
      <c r="A2" s="126" t="s">
        <v>291</v>
      </c>
      <c r="B2" s="127"/>
      <c r="C2" s="127"/>
      <c r="D2" s="127"/>
      <c r="E2" s="127"/>
      <c r="F2" s="127"/>
      <c r="G2" s="127"/>
      <c r="H2" s="128"/>
    </row>
    <row r="3" spans="1:8" ht="15">
      <c r="A3" s="129" t="s">
        <v>123</v>
      </c>
      <c r="B3" s="130"/>
      <c r="C3" s="130"/>
      <c r="D3" s="130"/>
      <c r="E3" s="130"/>
      <c r="F3" s="130"/>
      <c r="G3" s="130"/>
      <c r="H3" s="131"/>
    </row>
    <row r="4" spans="1:8" ht="15">
      <c r="A4" s="132" t="s">
        <v>475</v>
      </c>
      <c r="B4" s="133"/>
      <c r="C4" s="133"/>
      <c r="D4" s="133"/>
      <c r="E4" s="133"/>
      <c r="F4" s="133"/>
      <c r="G4" s="133"/>
      <c r="H4" s="134"/>
    </row>
    <row r="5" spans="1:8" ht="15">
      <c r="A5" s="135" t="s">
        <v>2</v>
      </c>
      <c r="B5" s="136"/>
      <c r="C5" s="136"/>
      <c r="D5" s="136"/>
      <c r="E5" s="136"/>
      <c r="F5" s="136"/>
      <c r="G5" s="136"/>
      <c r="H5" s="137"/>
    </row>
    <row r="6" spans="1:8" ht="62.25" customHeight="1">
      <c r="A6" s="5" t="s">
        <v>124</v>
      </c>
      <c r="B6" s="91" t="s">
        <v>482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9"/>
      <c r="B7" s="92"/>
      <c r="C7" s="59"/>
      <c r="D7" s="59"/>
      <c r="E7" s="59"/>
      <c r="F7" s="59"/>
      <c r="G7" s="59"/>
      <c r="H7" s="59"/>
    </row>
    <row r="8" spans="1:8" ht="15">
      <c r="A8" s="65" t="s">
        <v>131</v>
      </c>
      <c r="B8" s="87">
        <f>B9+B13</f>
        <v>2336915636.16</v>
      </c>
      <c r="C8" s="87">
        <f aca="true" t="shared" si="0" ref="C8:H8">C9+C13</f>
        <v>0</v>
      </c>
      <c r="D8" s="87">
        <f t="shared" si="0"/>
        <v>8814343.281432394</v>
      </c>
      <c r="E8" s="87">
        <f t="shared" si="0"/>
        <v>0</v>
      </c>
      <c r="F8" s="87">
        <f t="shared" si="0"/>
        <v>2328101292.8785677</v>
      </c>
      <c r="G8" s="87">
        <f t="shared" si="0"/>
        <v>47374198.42</v>
      </c>
      <c r="H8" s="87">
        <f t="shared" si="0"/>
        <v>0</v>
      </c>
    </row>
    <row r="9" spans="1:8" ht="15">
      <c r="A9" s="66" t="s">
        <v>132</v>
      </c>
      <c r="B9" s="85">
        <f>SUM(B10:B12)</f>
        <v>0</v>
      </c>
      <c r="C9" s="85">
        <f aca="true" t="shared" si="1" ref="C9:H9">SUM(C10:C12)</f>
        <v>0</v>
      </c>
      <c r="D9" s="85">
        <f t="shared" si="1"/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</row>
    <row r="10" spans="1:8" ht="15">
      <c r="A10" s="67" t="s">
        <v>133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</row>
    <row r="11" spans="1:8" ht="15">
      <c r="A11" s="67" t="s">
        <v>134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ht="15">
      <c r="A12" s="67" t="s">
        <v>135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256" ht="15">
      <c r="A13" s="66" t="s">
        <v>136</v>
      </c>
      <c r="B13" s="85">
        <f>SUM(B14+B20+B21)</f>
        <v>2336915636.16</v>
      </c>
      <c r="C13" s="85">
        <f aca="true" t="shared" si="2" ref="C13:BN13">SUM(C14+C20+C21)</f>
        <v>0</v>
      </c>
      <c r="D13" s="85">
        <f t="shared" si="2"/>
        <v>8814343.281432394</v>
      </c>
      <c r="E13" s="85">
        <f t="shared" si="2"/>
        <v>0</v>
      </c>
      <c r="F13" s="85">
        <f t="shared" si="2"/>
        <v>2328101292.8785677</v>
      </c>
      <c r="G13" s="85">
        <f t="shared" si="2"/>
        <v>47374198.42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 t="shared" si="2"/>
        <v>0</v>
      </c>
      <c r="P13" s="85">
        <f t="shared" si="2"/>
        <v>0</v>
      </c>
      <c r="Q13" s="85">
        <f t="shared" si="2"/>
        <v>0</v>
      </c>
      <c r="R13" s="85">
        <f t="shared" si="2"/>
        <v>0</v>
      </c>
      <c r="S13" s="85">
        <f t="shared" si="2"/>
        <v>0</v>
      </c>
      <c r="T13" s="85">
        <f t="shared" si="2"/>
        <v>0</v>
      </c>
      <c r="U13" s="85">
        <f t="shared" si="2"/>
        <v>0</v>
      </c>
      <c r="V13" s="85">
        <f t="shared" si="2"/>
        <v>0</v>
      </c>
      <c r="W13" s="85">
        <f t="shared" si="2"/>
        <v>0</v>
      </c>
      <c r="X13" s="85">
        <f t="shared" si="2"/>
        <v>0</v>
      </c>
      <c r="Y13" s="85">
        <f t="shared" si="2"/>
        <v>0</v>
      </c>
      <c r="Z13" s="85">
        <f t="shared" si="2"/>
        <v>0</v>
      </c>
      <c r="AA13" s="85">
        <f t="shared" si="2"/>
        <v>0</v>
      </c>
      <c r="AB13" s="85">
        <f t="shared" si="2"/>
        <v>0</v>
      </c>
      <c r="AC13" s="85">
        <f t="shared" si="2"/>
        <v>0</v>
      </c>
      <c r="AD13" s="85">
        <f t="shared" si="2"/>
        <v>0</v>
      </c>
      <c r="AE13" s="85">
        <f t="shared" si="2"/>
        <v>0</v>
      </c>
      <c r="AF13" s="85">
        <f t="shared" si="2"/>
        <v>0</v>
      </c>
      <c r="AG13" s="85">
        <f t="shared" si="2"/>
        <v>0</v>
      </c>
      <c r="AH13" s="85">
        <f t="shared" si="2"/>
        <v>0</v>
      </c>
      <c r="AI13" s="85">
        <f t="shared" si="2"/>
        <v>0</v>
      </c>
      <c r="AJ13" s="85">
        <f t="shared" si="2"/>
        <v>0</v>
      </c>
      <c r="AK13" s="85">
        <f t="shared" si="2"/>
        <v>0</v>
      </c>
      <c r="AL13" s="85">
        <f t="shared" si="2"/>
        <v>0</v>
      </c>
      <c r="AM13" s="85">
        <f t="shared" si="2"/>
        <v>0</v>
      </c>
      <c r="AN13" s="85">
        <f t="shared" si="2"/>
        <v>0</v>
      </c>
      <c r="AO13" s="85">
        <f t="shared" si="2"/>
        <v>0</v>
      </c>
      <c r="AP13" s="85">
        <f t="shared" si="2"/>
        <v>0</v>
      </c>
      <c r="AQ13" s="85">
        <f t="shared" si="2"/>
        <v>0</v>
      </c>
      <c r="AR13" s="85">
        <f t="shared" si="2"/>
        <v>0</v>
      </c>
      <c r="AS13" s="85">
        <f t="shared" si="2"/>
        <v>0</v>
      </c>
      <c r="AT13" s="85">
        <f t="shared" si="2"/>
        <v>0</v>
      </c>
      <c r="AU13" s="85">
        <f t="shared" si="2"/>
        <v>0</v>
      </c>
      <c r="AV13" s="85">
        <f t="shared" si="2"/>
        <v>0</v>
      </c>
      <c r="AW13" s="85">
        <f t="shared" si="2"/>
        <v>0</v>
      </c>
      <c r="AX13" s="85">
        <f t="shared" si="2"/>
        <v>0</v>
      </c>
      <c r="AY13" s="85">
        <f t="shared" si="2"/>
        <v>0</v>
      </c>
      <c r="AZ13" s="85">
        <f t="shared" si="2"/>
        <v>0</v>
      </c>
      <c r="BA13" s="85">
        <f t="shared" si="2"/>
        <v>0</v>
      </c>
      <c r="BB13" s="85">
        <f t="shared" si="2"/>
        <v>0</v>
      </c>
      <c r="BC13" s="85">
        <f t="shared" si="2"/>
        <v>0</v>
      </c>
      <c r="BD13" s="85">
        <f t="shared" si="2"/>
        <v>0</v>
      </c>
      <c r="BE13" s="85">
        <f t="shared" si="2"/>
        <v>0</v>
      </c>
      <c r="BF13" s="85">
        <f t="shared" si="2"/>
        <v>0</v>
      </c>
      <c r="BG13" s="85">
        <f t="shared" si="2"/>
        <v>0</v>
      </c>
      <c r="BH13" s="85">
        <f t="shared" si="2"/>
        <v>0</v>
      </c>
      <c r="BI13" s="85">
        <f t="shared" si="2"/>
        <v>0</v>
      </c>
      <c r="BJ13" s="85">
        <f t="shared" si="2"/>
        <v>0</v>
      </c>
      <c r="BK13" s="85">
        <f t="shared" si="2"/>
        <v>0</v>
      </c>
      <c r="BL13" s="85">
        <f t="shared" si="2"/>
        <v>0</v>
      </c>
      <c r="BM13" s="85">
        <f t="shared" si="2"/>
        <v>0</v>
      </c>
      <c r="BN13" s="85">
        <f t="shared" si="2"/>
        <v>0</v>
      </c>
      <c r="BO13" s="85">
        <f aca="true" t="shared" si="3" ref="BO13:DZ13">SUM(BO14+BO20+BO21)</f>
        <v>0</v>
      </c>
      <c r="BP13" s="85">
        <f t="shared" si="3"/>
        <v>0</v>
      </c>
      <c r="BQ13" s="85">
        <f t="shared" si="3"/>
        <v>0</v>
      </c>
      <c r="BR13" s="85">
        <f t="shared" si="3"/>
        <v>0</v>
      </c>
      <c r="BS13" s="85">
        <f t="shared" si="3"/>
        <v>0</v>
      </c>
      <c r="BT13" s="85">
        <f t="shared" si="3"/>
        <v>0</v>
      </c>
      <c r="BU13" s="85">
        <f t="shared" si="3"/>
        <v>0</v>
      </c>
      <c r="BV13" s="85">
        <f t="shared" si="3"/>
        <v>0</v>
      </c>
      <c r="BW13" s="85">
        <f t="shared" si="3"/>
        <v>0</v>
      </c>
      <c r="BX13" s="85">
        <f t="shared" si="3"/>
        <v>0</v>
      </c>
      <c r="BY13" s="85">
        <f t="shared" si="3"/>
        <v>0</v>
      </c>
      <c r="BZ13" s="85">
        <f t="shared" si="3"/>
        <v>0</v>
      </c>
      <c r="CA13" s="85">
        <f t="shared" si="3"/>
        <v>0</v>
      </c>
      <c r="CB13" s="85">
        <f t="shared" si="3"/>
        <v>0</v>
      </c>
      <c r="CC13" s="85">
        <f t="shared" si="3"/>
        <v>0</v>
      </c>
      <c r="CD13" s="85">
        <f t="shared" si="3"/>
        <v>0</v>
      </c>
      <c r="CE13" s="85">
        <f t="shared" si="3"/>
        <v>0</v>
      </c>
      <c r="CF13" s="85">
        <f t="shared" si="3"/>
        <v>0</v>
      </c>
      <c r="CG13" s="85">
        <f t="shared" si="3"/>
        <v>0</v>
      </c>
      <c r="CH13" s="85">
        <f t="shared" si="3"/>
        <v>0</v>
      </c>
      <c r="CI13" s="85">
        <f t="shared" si="3"/>
        <v>0</v>
      </c>
      <c r="CJ13" s="85">
        <f t="shared" si="3"/>
        <v>0</v>
      </c>
      <c r="CK13" s="85">
        <f t="shared" si="3"/>
        <v>0</v>
      </c>
      <c r="CL13" s="85">
        <f t="shared" si="3"/>
        <v>0</v>
      </c>
      <c r="CM13" s="85">
        <f t="shared" si="3"/>
        <v>0</v>
      </c>
      <c r="CN13" s="85">
        <f t="shared" si="3"/>
        <v>0</v>
      </c>
      <c r="CO13" s="85">
        <f t="shared" si="3"/>
        <v>0</v>
      </c>
      <c r="CP13" s="85">
        <f t="shared" si="3"/>
        <v>0</v>
      </c>
      <c r="CQ13" s="85">
        <f t="shared" si="3"/>
        <v>0</v>
      </c>
      <c r="CR13" s="85">
        <f t="shared" si="3"/>
        <v>0</v>
      </c>
      <c r="CS13" s="85">
        <f t="shared" si="3"/>
        <v>0</v>
      </c>
      <c r="CT13" s="85">
        <f t="shared" si="3"/>
        <v>0</v>
      </c>
      <c r="CU13" s="85">
        <f t="shared" si="3"/>
        <v>0</v>
      </c>
      <c r="CV13" s="85">
        <f t="shared" si="3"/>
        <v>0</v>
      </c>
      <c r="CW13" s="85">
        <f t="shared" si="3"/>
        <v>0</v>
      </c>
      <c r="CX13" s="85">
        <f t="shared" si="3"/>
        <v>0</v>
      </c>
      <c r="CY13" s="85">
        <f t="shared" si="3"/>
        <v>0</v>
      </c>
      <c r="CZ13" s="85">
        <f t="shared" si="3"/>
        <v>0</v>
      </c>
      <c r="DA13" s="85">
        <f t="shared" si="3"/>
        <v>0</v>
      </c>
      <c r="DB13" s="85">
        <f t="shared" si="3"/>
        <v>0</v>
      </c>
      <c r="DC13" s="85">
        <f t="shared" si="3"/>
        <v>0</v>
      </c>
      <c r="DD13" s="85">
        <f t="shared" si="3"/>
        <v>0</v>
      </c>
      <c r="DE13" s="85">
        <f t="shared" si="3"/>
        <v>0</v>
      </c>
      <c r="DF13" s="85">
        <f t="shared" si="3"/>
        <v>0</v>
      </c>
      <c r="DG13" s="85">
        <f t="shared" si="3"/>
        <v>0</v>
      </c>
      <c r="DH13" s="85">
        <f t="shared" si="3"/>
        <v>0</v>
      </c>
      <c r="DI13" s="85">
        <f t="shared" si="3"/>
        <v>0</v>
      </c>
      <c r="DJ13" s="85">
        <f t="shared" si="3"/>
        <v>0</v>
      </c>
      <c r="DK13" s="85">
        <f t="shared" si="3"/>
        <v>0</v>
      </c>
      <c r="DL13" s="85">
        <f t="shared" si="3"/>
        <v>0</v>
      </c>
      <c r="DM13" s="85">
        <f t="shared" si="3"/>
        <v>0</v>
      </c>
      <c r="DN13" s="85">
        <f t="shared" si="3"/>
        <v>0</v>
      </c>
      <c r="DO13" s="85">
        <f t="shared" si="3"/>
        <v>0</v>
      </c>
      <c r="DP13" s="85">
        <f t="shared" si="3"/>
        <v>0</v>
      </c>
      <c r="DQ13" s="85">
        <f t="shared" si="3"/>
        <v>0</v>
      </c>
      <c r="DR13" s="85">
        <f t="shared" si="3"/>
        <v>0</v>
      </c>
      <c r="DS13" s="85">
        <f t="shared" si="3"/>
        <v>0</v>
      </c>
      <c r="DT13" s="85">
        <f t="shared" si="3"/>
        <v>0</v>
      </c>
      <c r="DU13" s="85">
        <f t="shared" si="3"/>
        <v>0</v>
      </c>
      <c r="DV13" s="85">
        <f t="shared" si="3"/>
        <v>0</v>
      </c>
      <c r="DW13" s="85">
        <f t="shared" si="3"/>
        <v>0</v>
      </c>
      <c r="DX13" s="85">
        <f t="shared" si="3"/>
        <v>0</v>
      </c>
      <c r="DY13" s="85">
        <f t="shared" si="3"/>
        <v>0</v>
      </c>
      <c r="DZ13" s="85">
        <f t="shared" si="3"/>
        <v>0</v>
      </c>
      <c r="EA13" s="85">
        <f aca="true" t="shared" si="4" ref="EA13:GL13">SUM(EA14+EA20+EA21)</f>
        <v>0</v>
      </c>
      <c r="EB13" s="85">
        <f t="shared" si="4"/>
        <v>0</v>
      </c>
      <c r="EC13" s="85">
        <f t="shared" si="4"/>
        <v>0</v>
      </c>
      <c r="ED13" s="85">
        <f t="shared" si="4"/>
        <v>0</v>
      </c>
      <c r="EE13" s="85">
        <f t="shared" si="4"/>
        <v>0</v>
      </c>
      <c r="EF13" s="85">
        <f t="shared" si="4"/>
        <v>0</v>
      </c>
      <c r="EG13" s="85">
        <f t="shared" si="4"/>
        <v>0</v>
      </c>
      <c r="EH13" s="85">
        <f t="shared" si="4"/>
        <v>0</v>
      </c>
      <c r="EI13" s="85">
        <f t="shared" si="4"/>
        <v>0</v>
      </c>
      <c r="EJ13" s="85">
        <f t="shared" si="4"/>
        <v>0</v>
      </c>
      <c r="EK13" s="85">
        <f t="shared" si="4"/>
        <v>0</v>
      </c>
      <c r="EL13" s="85">
        <f t="shared" si="4"/>
        <v>0</v>
      </c>
      <c r="EM13" s="85">
        <f t="shared" si="4"/>
        <v>0</v>
      </c>
      <c r="EN13" s="85">
        <f t="shared" si="4"/>
        <v>0</v>
      </c>
      <c r="EO13" s="85">
        <f t="shared" si="4"/>
        <v>0</v>
      </c>
      <c r="EP13" s="85">
        <f t="shared" si="4"/>
        <v>0</v>
      </c>
      <c r="EQ13" s="85">
        <f t="shared" si="4"/>
        <v>0</v>
      </c>
      <c r="ER13" s="85">
        <f t="shared" si="4"/>
        <v>0</v>
      </c>
      <c r="ES13" s="85">
        <f t="shared" si="4"/>
        <v>0</v>
      </c>
      <c r="ET13" s="85">
        <f t="shared" si="4"/>
        <v>0</v>
      </c>
      <c r="EU13" s="85">
        <f t="shared" si="4"/>
        <v>0</v>
      </c>
      <c r="EV13" s="85">
        <f t="shared" si="4"/>
        <v>0</v>
      </c>
      <c r="EW13" s="85">
        <f t="shared" si="4"/>
        <v>0</v>
      </c>
      <c r="EX13" s="85">
        <f t="shared" si="4"/>
        <v>0</v>
      </c>
      <c r="EY13" s="85">
        <f t="shared" si="4"/>
        <v>0</v>
      </c>
      <c r="EZ13" s="85">
        <f t="shared" si="4"/>
        <v>0</v>
      </c>
      <c r="FA13" s="85">
        <f t="shared" si="4"/>
        <v>0</v>
      </c>
      <c r="FB13" s="85">
        <f t="shared" si="4"/>
        <v>0</v>
      </c>
      <c r="FC13" s="85">
        <f t="shared" si="4"/>
        <v>0</v>
      </c>
      <c r="FD13" s="85">
        <f t="shared" si="4"/>
        <v>0</v>
      </c>
      <c r="FE13" s="85">
        <f t="shared" si="4"/>
        <v>0</v>
      </c>
      <c r="FF13" s="85">
        <f t="shared" si="4"/>
        <v>0</v>
      </c>
      <c r="FG13" s="85">
        <f t="shared" si="4"/>
        <v>0</v>
      </c>
      <c r="FH13" s="85">
        <f t="shared" si="4"/>
        <v>0</v>
      </c>
      <c r="FI13" s="85">
        <f t="shared" si="4"/>
        <v>0</v>
      </c>
      <c r="FJ13" s="85">
        <f t="shared" si="4"/>
        <v>0</v>
      </c>
      <c r="FK13" s="85">
        <f t="shared" si="4"/>
        <v>0</v>
      </c>
      <c r="FL13" s="85">
        <f t="shared" si="4"/>
        <v>0</v>
      </c>
      <c r="FM13" s="85">
        <f t="shared" si="4"/>
        <v>0</v>
      </c>
      <c r="FN13" s="85">
        <f t="shared" si="4"/>
        <v>0</v>
      </c>
      <c r="FO13" s="85">
        <f t="shared" si="4"/>
        <v>0</v>
      </c>
      <c r="FP13" s="85">
        <f t="shared" si="4"/>
        <v>0</v>
      </c>
      <c r="FQ13" s="85">
        <f t="shared" si="4"/>
        <v>0</v>
      </c>
      <c r="FR13" s="85">
        <f t="shared" si="4"/>
        <v>0</v>
      </c>
      <c r="FS13" s="85">
        <f t="shared" si="4"/>
        <v>0</v>
      </c>
      <c r="FT13" s="85">
        <f t="shared" si="4"/>
        <v>0</v>
      </c>
      <c r="FU13" s="85">
        <f t="shared" si="4"/>
        <v>0</v>
      </c>
      <c r="FV13" s="85">
        <f t="shared" si="4"/>
        <v>0</v>
      </c>
      <c r="FW13" s="85">
        <f t="shared" si="4"/>
        <v>0</v>
      </c>
      <c r="FX13" s="85">
        <f t="shared" si="4"/>
        <v>0</v>
      </c>
      <c r="FY13" s="85">
        <f t="shared" si="4"/>
        <v>0</v>
      </c>
      <c r="FZ13" s="85">
        <f t="shared" si="4"/>
        <v>0</v>
      </c>
      <c r="GA13" s="85">
        <f t="shared" si="4"/>
        <v>0</v>
      </c>
      <c r="GB13" s="85">
        <f t="shared" si="4"/>
        <v>0</v>
      </c>
      <c r="GC13" s="85">
        <f t="shared" si="4"/>
        <v>0</v>
      </c>
      <c r="GD13" s="85">
        <f t="shared" si="4"/>
        <v>0</v>
      </c>
      <c r="GE13" s="85">
        <f t="shared" si="4"/>
        <v>0</v>
      </c>
      <c r="GF13" s="85">
        <f t="shared" si="4"/>
        <v>0</v>
      </c>
      <c r="GG13" s="85">
        <f t="shared" si="4"/>
        <v>0</v>
      </c>
      <c r="GH13" s="85">
        <f t="shared" si="4"/>
        <v>0</v>
      </c>
      <c r="GI13" s="85">
        <f t="shared" si="4"/>
        <v>0</v>
      </c>
      <c r="GJ13" s="85">
        <f t="shared" si="4"/>
        <v>0</v>
      </c>
      <c r="GK13" s="85">
        <f t="shared" si="4"/>
        <v>0</v>
      </c>
      <c r="GL13" s="85">
        <f t="shared" si="4"/>
        <v>0</v>
      </c>
      <c r="GM13" s="85">
        <f aca="true" t="shared" si="5" ref="GM13:IV13">SUM(GM14+GM20+GM21)</f>
        <v>0</v>
      </c>
      <c r="GN13" s="85">
        <f t="shared" si="5"/>
        <v>0</v>
      </c>
      <c r="GO13" s="85">
        <f t="shared" si="5"/>
        <v>0</v>
      </c>
      <c r="GP13" s="85">
        <f t="shared" si="5"/>
        <v>0</v>
      </c>
      <c r="GQ13" s="85">
        <f t="shared" si="5"/>
        <v>0</v>
      </c>
      <c r="GR13" s="85">
        <f t="shared" si="5"/>
        <v>0</v>
      </c>
      <c r="GS13" s="85">
        <f t="shared" si="5"/>
        <v>0</v>
      </c>
      <c r="GT13" s="85">
        <f t="shared" si="5"/>
        <v>0</v>
      </c>
      <c r="GU13" s="85">
        <f t="shared" si="5"/>
        <v>0</v>
      </c>
      <c r="GV13" s="85">
        <f t="shared" si="5"/>
        <v>0</v>
      </c>
      <c r="GW13" s="85">
        <f t="shared" si="5"/>
        <v>0</v>
      </c>
      <c r="GX13" s="85">
        <f t="shared" si="5"/>
        <v>0</v>
      </c>
      <c r="GY13" s="85">
        <f t="shared" si="5"/>
        <v>0</v>
      </c>
      <c r="GZ13" s="85">
        <f t="shared" si="5"/>
        <v>0</v>
      </c>
      <c r="HA13" s="85">
        <f t="shared" si="5"/>
        <v>0</v>
      </c>
      <c r="HB13" s="85">
        <f t="shared" si="5"/>
        <v>0</v>
      </c>
      <c r="HC13" s="85">
        <f t="shared" si="5"/>
        <v>0</v>
      </c>
      <c r="HD13" s="85">
        <f t="shared" si="5"/>
        <v>0</v>
      </c>
      <c r="HE13" s="85">
        <f t="shared" si="5"/>
        <v>0</v>
      </c>
      <c r="HF13" s="85">
        <f t="shared" si="5"/>
        <v>0</v>
      </c>
      <c r="HG13" s="85">
        <f t="shared" si="5"/>
        <v>0</v>
      </c>
      <c r="HH13" s="85">
        <f t="shared" si="5"/>
        <v>0</v>
      </c>
      <c r="HI13" s="85">
        <f t="shared" si="5"/>
        <v>0</v>
      </c>
      <c r="HJ13" s="85">
        <f t="shared" si="5"/>
        <v>0</v>
      </c>
      <c r="HK13" s="85">
        <f t="shared" si="5"/>
        <v>0</v>
      </c>
      <c r="HL13" s="85">
        <f t="shared" si="5"/>
        <v>0</v>
      </c>
      <c r="HM13" s="85">
        <f t="shared" si="5"/>
        <v>0</v>
      </c>
      <c r="HN13" s="85">
        <f t="shared" si="5"/>
        <v>0</v>
      </c>
      <c r="HO13" s="85">
        <f t="shared" si="5"/>
        <v>0</v>
      </c>
      <c r="HP13" s="85">
        <f t="shared" si="5"/>
        <v>0</v>
      </c>
      <c r="HQ13" s="85">
        <f t="shared" si="5"/>
        <v>0</v>
      </c>
      <c r="HR13" s="85">
        <f t="shared" si="5"/>
        <v>0</v>
      </c>
      <c r="HS13" s="85">
        <f t="shared" si="5"/>
        <v>0</v>
      </c>
      <c r="HT13" s="85">
        <f t="shared" si="5"/>
        <v>0</v>
      </c>
      <c r="HU13" s="85">
        <f t="shared" si="5"/>
        <v>0</v>
      </c>
      <c r="HV13" s="85">
        <f t="shared" si="5"/>
        <v>0</v>
      </c>
      <c r="HW13" s="85">
        <f t="shared" si="5"/>
        <v>0</v>
      </c>
      <c r="HX13" s="85">
        <f t="shared" si="5"/>
        <v>0</v>
      </c>
      <c r="HY13" s="85">
        <f t="shared" si="5"/>
        <v>0</v>
      </c>
      <c r="HZ13" s="85">
        <f t="shared" si="5"/>
        <v>0</v>
      </c>
      <c r="IA13" s="85">
        <f t="shared" si="5"/>
        <v>0</v>
      </c>
      <c r="IB13" s="85">
        <f t="shared" si="5"/>
        <v>0</v>
      </c>
      <c r="IC13" s="85">
        <f t="shared" si="5"/>
        <v>0</v>
      </c>
      <c r="ID13" s="85">
        <f t="shared" si="5"/>
        <v>0</v>
      </c>
      <c r="IE13" s="85">
        <f t="shared" si="5"/>
        <v>0</v>
      </c>
      <c r="IF13" s="85">
        <f t="shared" si="5"/>
        <v>0</v>
      </c>
      <c r="IG13" s="85">
        <f t="shared" si="5"/>
        <v>0</v>
      </c>
      <c r="IH13" s="85">
        <f t="shared" si="5"/>
        <v>0</v>
      </c>
      <c r="II13" s="85">
        <f t="shared" si="5"/>
        <v>0</v>
      </c>
      <c r="IJ13" s="85">
        <f t="shared" si="5"/>
        <v>0</v>
      </c>
      <c r="IK13" s="85">
        <f t="shared" si="5"/>
        <v>0</v>
      </c>
      <c r="IL13" s="85">
        <f t="shared" si="5"/>
        <v>0</v>
      </c>
      <c r="IM13" s="85">
        <f t="shared" si="5"/>
        <v>0</v>
      </c>
      <c r="IN13" s="85">
        <f t="shared" si="5"/>
        <v>0</v>
      </c>
      <c r="IO13" s="85">
        <f t="shared" si="5"/>
        <v>0</v>
      </c>
      <c r="IP13" s="85">
        <f t="shared" si="5"/>
        <v>0</v>
      </c>
      <c r="IQ13" s="85">
        <f t="shared" si="5"/>
        <v>0</v>
      </c>
      <c r="IR13" s="85">
        <f t="shared" si="5"/>
        <v>0</v>
      </c>
      <c r="IS13" s="85">
        <f t="shared" si="5"/>
        <v>0</v>
      </c>
      <c r="IT13" s="85">
        <f t="shared" si="5"/>
        <v>0</v>
      </c>
      <c r="IU13" s="85">
        <f t="shared" si="5"/>
        <v>0</v>
      </c>
      <c r="IV13" s="85">
        <f t="shared" si="5"/>
        <v>0</v>
      </c>
    </row>
    <row r="14" spans="1:256" ht="15">
      <c r="A14" s="67" t="s">
        <v>137</v>
      </c>
      <c r="B14" s="85">
        <f>SUM(B15:B19)</f>
        <v>2336915636.16</v>
      </c>
      <c r="C14" s="85">
        <f aca="true" t="shared" si="6" ref="C14:BN14">SUM(C15:C19)</f>
        <v>0</v>
      </c>
      <c r="D14" s="85">
        <f t="shared" si="6"/>
        <v>8814343.281432394</v>
      </c>
      <c r="E14" s="85">
        <f t="shared" si="6"/>
        <v>0</v>
      </c>
      <c r="F14" s="85">
        <f t="shared" si="6"/>
        <v>2328101292.8785677</v>
      </c>
      <c r="G14" s="85">
        <f t="shared" si="6"/>
        <v>47374198.42</v>
      </c>
      <c r="H14" s="85">
        <f t="shared" si="6"/>
        <v>0</v>
      </c>
      <c r="I14" s="85">
        <f t="shared" si="6"/>
        <v>0</v>
      </c>
      <c r="J14" s="85">
        <f t="shared" si="6"/>
        <v>0</v>
      </c>
      <c r="K14" s="85">
        <f t="shared" si="6"/>
        <v>0</v>
      </c>
      <c r="L14" s="85">
        <f t="shared" si="6"/>
        <v>0</v>
      </c>
      <c r="M14" s="85">
        <f t="shared" si="6"/>
        <v>0</v>
      </c>
      <c r="N14" s="85">
        <f t="shared" si="6"/>
        <v>0</v>
      </c>
      <c r="O14" s="85">
        <f t="shared" si="6"/>
        <v>0</v>
      </c>
      <c r="P14" s="85">
        <f t="shared" si="6"/>
        <v>0</v>
      </c>
      <c r="Q14" s="85">
        <f t="shared" si="6"/>
        <v>0</v>
      </c>
      <c r="R14" s="85">
        <f t="shared" si="6"/>
        <v>0</v>
      </c>
      <c r="S14" s="85">
        <f t="shared" si="6"/>
        <v>0</v>
      </c>
      <c r="T14" s="85">
        <f t="shared" si="6"/>
        <v>0</v>
      </c>
      <c r="U14" s="85">
        <f t="shared" si="6"/>
        <v>0</v>
      </c>
      <c r="V14" s="85">
        <f t="shared" si="6"/>
        <v>0</v>
      </c>
      <c r="W14" s="85">
        <f t="shared" si="6"/>
        <v>0</v>
      </c>
      <c r="X14" s="85">
        <f t="shared" si="6"/>
        <v>0</v>
      </c>
      <c r="Y14" s="85">
        <f t="shared" si="6"/>
        <v>0</v>
      </c>
      <c r="Z14" s="85">
        <f t="shared" si="6"/>
        <v>0</v>
      </c>
      <c r="AA14" s="85">
        <f t="shared" si="6"/>
        <v>0</v>
      </c>
      <c r="AB14" s="85">
        <f t="shared" si="6"/>
        <v>0</v>
      </c>
      <c r="AC14" s="85">
        <f t="shared" si="6"/>
        <v>0</v>
      </c>
      <c r="AD14" s="85">
        <f t="shared" si="6"/>
        <v>0</v>
      </c>
      <c r="AE14" s="85">
        <f t="shared" si="6"/>
        <v>0</v>
      </c>
      <c r="AF14" s="85">
        <f t="shared" si="6"/>
        <v>0</v>
      </c>
      <c r="AG14" s="85">
        <f t="shared" si="6"/>
        <v>0</v>
      </c>
      <c r="AH14" s="85">
        <f t="shared" si="6"/>
        <v>0</v>
      </c>
      <c r="AI14" s="85">
        <f t="shared" si="6"/>
        <v>0</v>
      </c>
      <c r="AJ14" s="85">
        <f t="shared" si="6"/>
        <v>0</v>
      </c>
      <c r="AK14" s="85">
        <f t="shared" si="6"/>
        <v>0</v>
      </c>
      <c r="AL14" s="85">
        <f t="shared" si="6"/>
        <v>0</v>
      </c>
      <c r="AM14" s="85">
        <f t="shared" si="6"/>
        <v>0</v>
      </c>
      <c r="AN14" s="85">
        <f t="shared" si="6"/>
        <v>0</v>
      </c>
      <c r="AO14" s="85">
        <f t="shared" si="6"/>
        <v>0</v>
      </c>
      <c r="AP14" s="85">
        <f t="shared" si="6"/>
        <v>0</v>
      </c>
      <c r="AQ14" s="85">
        <f t="shared" si="6"/>
        <v>0</v>
      </c>
      <c r="AR14" s="85">
        <f t="shared" si="6"/>
        <v>0</v>
      </c>
      <c r="AS14" s="85">
        <f t="shared" si="6"/>
        <v>0</v>
      </c>
      <c r="AT14" s="85">
        <f t="shared" si="6"/>
        <v>0</v>
      </c>
      <c r="AU14" s="85">
        <f t="shared" si="6"/>
        <v>0</v>
      </c>
      <c r="AV14" s="85">
        <f t="shared" si="6"/>
        <v>0</v>
      </c>
      <c r="AW14" s="85">
        <f t="shared" si="6"/>
        <v>0</v>
      </c>
      <c r="AX14" s="85">
        <f t="shared" si="6"/>
        <v>0</v>
      </c>
      <c r="AY14" s="85">
        <f t="shared" si="6"/>
        <v>0</v>
      </c>
      <c r="AZ14" s="85">
        <f t="shared" si="6"/>
        <v>0</v>
      </c>
      <c r="BA14" s="85">
        <f t="shared" si="6"/>
        <v>0</v>
      </c>
      <c r="BB14" s="85">
        <f t="shared" si="6"/>
        <v>0</v>
      </c>
      <c r="BC14" s="85">
        <f t="shared" si="6"/>
        <v>0</v>
      </c>
      <c r="BD14" s="85">
        <f t="shared" si="6"/>
        <v>0</v>
      </c>
      <c r="BE14" s="85">
        <f t="shared" si="6"/>
        <v>0</v>
      </c>
      <c r="BF14" s="85">
        <f t="shared" si="6"/>
        <v>0</v>
      </c>
      <c r="BG14" s="85">
        <f t="shared" si="6"/>
        <v>0</v>
      </c>
      <c r="BH14" s="85">
        <f t="shared" si="6"/>
        <v>0</v>
      </c>
      <c r="BI14" s="85">
        <f t="shared" si="6"/>
        <v>0</v>
      </c>
      <c r="BJ14" s="85">
        <f t="shared" si="6"/>
        <v>0</v>
      </c>
      <c r="BK14" s="85">
        <f t="shared" si="6"/>
        <v>0</v>
      </c>
      <c r="BL14" s="85">
        <f t="shared" si="6"/>
        <v>0</v>
      </c>
      <c r="BM14" s="85">
        <f t="shared" si="6"/>
        <v>0</v>
      </c>
      <c r="BN14" s="85">
        <f t="shared" si="6"/>
        <v>0</v>
      </c>
      <c r="BO14" s="85">
        <f aca="true" t="shared" si="7" ref="BO14:DZ14">SUM(BO15:BO19)</f>
        <v>0</v>
      </c>
      <c r="BP14" s="85">
        <f t="shared" si="7"/>
        <v>0</v>
      </c>
      <c r="BQ14" s="85">
        <f t="shared" si="7"/>
        <v>0</v>
      </c>
      <c r="BR14" s="85">
        <f t="shared" si="7"/>
        <v>0</v>
      </c>
      <c r="BS14" s="85">
        <f t="shared" si="7"/>
        <v>0</v>
      </c>
      <c r="BT14" s="85">
        <f t="shared" si="7"/>
        <v>0</v>
      </c>
      <c r="BU14" s="85">
        <f t="shared" si="7"/>
        <v>0</v>
      </c>
      <c r="BV14" s="85">
        <f t="shared" si="7"/>
        <v>0</v>
      </c>
      <c r="BW14" s="85">
        <f t="shared" si="7"/>
        <v>0</v>
      </c>
      <c r="BX14" s="85">
        <f t="shared" si="7"/>
        <v>0</v>
      </c>
      <c r="BY14" s="85">
        <f t="shared" si="7"/>
        <v>0</v>
      </c>
      <c r="BZ14" s="85">
        <f t="shared" si="7"/>
        <v>0</v>
      </c>
      <c r="CA14" s="85">
        <f t="shared" si="7"/>
        <v>0</v>
      </c>
      <c r="CB14" s="85">
        <f t="shared" si="7"/>
        <v>0</v>
      </c>
      <c r="CC14" s="85">
        <f t="shared" si="7"/>
        <v>0</v>
      </c>
      <c r="CD14" s="85">
        <f t="shared" si="7"/>
        <v>0</v>
      </c>
      <c r="CE14" s="85">
        <f t="shared" si="7"/>
        <v>0</v>
      </c>
      <c r="CF14" s="85">
        <f t="shared" si="7"/>
        <v>0</v>
      </c>
      <c r="CG14" s="85">
        <f t="shared" si="7"/>
        <v>0</v>
      </c>
      <c r="CH14" s="85">
        <f t="shared" si="7"/>
        <v>0</v>
      </c>
      <c r="CI14" s="85">
        <f t="shared" si="7"/>
        <v>0</v>
      </c>
      <c r="CJ14" s="85">
        <f t="shared" si="7"/>
        <v>0</v>
      </c>
      <c r="CK14" s="85">
        <f t="shared" si="7"/>
        <v>0</v>
      </c>
      <c r="CL14" s="85">
        <f t="shared" si="7"/>
        <v>0</v>
      </c>
      <c r="CM14" s="85">
        <f t="shared" si="7"/>
        <v>0</v>
      </c>
      <c r="CN14" s="85">
        <f t="shared" si="7"/>
        <v>0</v>
      </c>
      <c r="CO14" s="85">
        <f t="shared" si="7"/>
        <v>0</v>
      </c>
      <c r="CP14" s="85">
        <f t="shared" si="7"/>
        <v>0</v>
      </c>
      <c r="CQ14" s="85">
        <f t="shared" si="7"/>
        <v>0</v>
      </c>
      <c r="CR14" s="85">
        <f t="shared" si="7"/>
        <v>0</v>
      </c>
      <c r="CS14" s="85">
        <f t="shared" si="7"/>
        <v>0</v>
      </c>
      <c r="CT14" s="85">
        <f t="shared" si="7"/>
        <v>0</v>
      </c>
      <c r="CU14" s="85">
        <f t="shared" si="7"/>
        <v>0</v>
      </c>
      <c r="CV14" s="85">
        <f t="shared" si="7"/>
        <v>0</v>
      </c>
      <c r="CW14" s="85">
        <f t="shared" si="7"/>
        <v>0</v>
      </c>
      <c r="CX14" s="85">
        <f t="shared" si="7"/>
        <v>0</v>
      </c>
      <c r="CY14" s="85">
        <f t="shared" si="7"/>
        <v>0</v>
      </c>
      <c r="CZ14" s="85">
        <f t="shared" si="7"/>
        <v>0</v>
      </c>
      <c r="DA14" s="85">
        <f t="shared" si="7"/>
        <v>0</v>
      </c>
      <c r="DB14" s="85">
        <f t="shared" si="7"/>
        <v>0</v>
      </c>
      <c r="DC14" s="85">
        <f t="shared" si="7"/>
        <v>0</v>
      </c>
      <c r="DD14" s="85">
        <f t="shared" si="7"/>
        <v>0</v>
      </c>
      <c r="DE14" s="85">
        <f t="shared" si="7"/>
        <v>0</v>
      </c>
      <c r="DF14" s="85">
        <f t="shared" si="7"/>
        <v>0</v>
      </c>
      <c r="DG14" s="85">
        <f t="shared" si="7"/>
        <v>0</v>
      </c>
      <c r="DH14" s="85">
        <f t="shared" si="7"/>
        <v>0</v>
      </c>
      <c r="DI14" s="85">
        <f t="shared" si="7"/>
        <v>0</v>
      </c>
      <c r="DJ14" s="85">
        <f t="shared" si="7"/>
        <v>0</v>
      </c>
      <c r="DK14" s="85">
        <f t="shared" si="7"/>
        <v>0</v>
      </c>
      <c r="DL14" s="85">
        <f t="shared" si="7"/>
        <v>0</v>
      </c>
      <c r="DM14" s="85">
        <f t="shared" si="7"/>
        <v>0</v>
      </c>
      <c r="DN14" s="85">
        <f t="shared" si="7"/>
        <v>0</v>
      </c>
      <c r="DO14" s="85">
        <f t="shared" si="7"/>
        <v>0</v>
      </c>
      <c r="DP14" s="85">
        <f t="shared" si="7"/>
        <v>0</v>
      </c>
      <c r="DQ14" s="85">
        <f t="shared" si="7"/>
        <v>0</v>
      </c>
      <c r="DR14" s="85">
        <f t="shared" si="7"/>
        <v>0</v>
      </c>
      <c r="DS14" s="85">
        <f t="shared" si="7"/>
        <v>0</v>
      </c>
      <c r="DT14" s="85">
        <f t="shared" si="7"/>
        <v>0</v>
      </c>
      <c r="DU14" s="85">
        <f t="shared" si="7"/>
        <v>0</v>
      </c>
      <c r="DV14" s="85">
        <f t="shared" si="7"/>
        <v>0</v>
      </c>
      <c r="DW14" s="85">
        <f t="shared" si="7"/>
        <v>0</v>
      </c>
      <c r="DX14" s="85">
        <f t="shared" si="7"/>
        <v>0</v>
      </c>
      <c r="DY14" s="85">
        <f t="shared" si="7"/>
        <v>0</v>
      </c>
      <c r="DZ14" s="85">
        <f t="shared" si="7"/>
        <v>0</v>
      </c>
      <c r="EA14" s="85">
        <f aca="true" t="shared" si="8" ref="EA14:GL14">SUM(EA15:EA19)</f>
        <v>0</v>
      </c>
      <c r="EB14" s="85">
        <f t="shared" si="8"/>
        <v>0</v>
      </c>
      <c r="EC14" s="85">
        <f t="shared" si="8"/>
        <v>0</v>
      </c>
      <c r="ED14" s="85">
        <f t="shared" si="8"/>
        <v>0</v>
      </c>
      <c r="EE14" s="85">
        <f t="shared" si="8"/>
        <v>0</v>
      </c>
      <c r="EF14" s="85">
        <f t="shared" si="8"/>
        <v>0</v>
      </c>
      <c r="EG14" s="85">
        <f t="shared" si="8"/>
        <v>0</v>
      </c>
      <c r="EH14" s="85">
        <f t="shared" si="8"/>
        <v>0</v>
      </c>
      <c r="EI14" s="85">
        <f t="shared" si="8"/>
        <v>0</v>
      </c>
      <c r="EJ14" s="85">
        <f t="shared" si="8"/>
        <v>0</v>
      </c>
      <c r="EK14" s="85">
        <f t="shared" si="8"/>
        <v>0</v>
      </c>
      <c r="EL14" s="85">
        <f t="shared" si="8"/>
        <v>0</v>
      </c>
      <c r="EM14" s="85">
        <f t="shared" si="8"/>
        <v>0</v>
      </c>
      <c r="EN14" s="85">
        <f t="shared" si="8"/>
        <v>0</v>
      </c>
      <c r="EO14" s="85">
        <f t="shared" si="8"/>
        <v>0</v>
      </c>
      <c r="EP14" s="85">
        <f t="shared" si="8"/>
        <v>0</v>
      </c>
      <c r="EQ14" s="85">
        <f t="shared" si="8"/>
        <v>0</v>
      </c>
      <c r="ER14" s="85">
        <f t="shared" si="8"/>
        <v>0</v>
      </c>
      <c r="ES14" s="85">
        <f t="shared" si="8"/>
        <v>0</v>
      </c>
      <c r="ET14" s="85">
        <f t="shared" si="8"/>
        <v>0</v>
      </c>
      <c r="EU14" s="85">
        <f t="shared" si="8"/>
        <v>0</v>
      </c>
      <c r="EV14" s="85">
        <f t="shared" si="8"/>
        <v>0</v>
      </c>
      <c r="EW14" s="85">
        <f t="shared" si="8"/>
        <v>0</v>
      </c>
      <c r="EX14" s="85">
        <f t="shared" si="8"/>
        <v>0</v>
      </c>
      <c r="EY14" s="85">
        <f t="shared" si="8"/>
        <v>0</v>
      </c>
      <c r="EZ14" s="85">
        <f t="shared" si="8"/>
        <v>0</v>
      </c>
      <c r="FA14" s="85">
        <f t="shared" si="8"/>
        <v>0</v>
      </c>
      <c r="FB14" s="85">
        <f t="shared" si="8"/>
        <v>0</v>
      </c>
      <c r="FC14" s="85">
        <f t="shared" si="8"/>
        <v>0</v>
      </c>
      <c r="FD14" s="85">
        <f t="shared" si="8"/>
        <v>0</v>
      </c>
      <c r="FE14" s="85">
        <f t="shared" si="8"/>
        <v>0</v>
      </c>
      <c r="FF14" s="85">
        <f t="shared" si="8"/>
        <v>0</v>
      </c>
      <c r="FG14" s="85">
        <f t="shared" si="8"/>
        <v>0</v>
      </c>
      <c r="FH14" s="85">
        <f t="shared" si="8"/>
        <v>0</v>
      </c>
      <c r="FI14" s="85">
        <f t="shared" si="8"/>
        <v>0</v>
      </c>
      <c r="FJ14" s="85">
        <f t="shared" si="8"/>
        <v>0</v>
      </c>
      <c r="FK14" s="85">
        <f t="shared" si="8"/>
        <v>0</v>
      </c>
      <c r="FL14" s="85">
        <f t="shared" si="8"/>
        <v>0</v>
      </c>
      <c r="FM14" s="85">
        <f t="shared" si="8"/>
        <v>0</v>
      </c>
      <c r="FN14" s="85">
        <f t="shared" si="8"/>
        <v>0</v>
      </c>
      <c r="FO14" s="85">
        <f t="shared" si="8"/>
        <v>0</v>
      </c>
      <c r="FP14" s="85">
        <f t="shared" si="8"/>
        <v>0</v>
      </c>
      <c r="FQ14" s="85">
        <f t="shared" si="8"/>
        <v>0</v>
      </c>
      <c r="FR14" s="85">
        <f t="shared" si="8"/>
        <v>0</v>
      </c>
      <c r="FS14" s="85">
        <f t="shared" si="8"/>
        <v>0</v>
      </c>
      <c r="FT14" s="85">
        <f t="shared" si="8"/>
        <v>0</v>
      </c>
      <c r="FU14" s="85">
        <f t="shared" si="8"/>
        <v>0</v>
      </c>
      <c r="FV14" s="85">
        <f t="shared" si="8"/>
        <v>0</v>
      </c>
      <c r="FW14" s="85">
        <f t="shared" si="8"/>
        <v>0</v>
      </c>
      <c r="FX14" s="85">
        <f t="shared" si="8"/>
        <v>0</v>
      </c>
      <c r="FY14" s="85">
        <f t="shared" si="8"/>
        <v>0</v>
      </c>
      <c r="FZ14" s="85">
        <f t="shared" si="8"/>
        <v>0</v>
      </c>
      <c r="GA14" s="85">
        <f t="shared" si="8"/>
        <v>0</v>
      </c>
      <c r="GB14" s="85">
        <f t="shared" si="8"/>
        <v>0</v>
      </c>
      <c r="GC14" s="85">
        <f t="shared" si="8"/>
        <v>0</v>
      </c>
      <c r="GD14" s="85">
        <f t="shared" si="8"/>
        <v>0</v>
      </c>
      <c r="GE14" s="85">
        <f t="shared" si="8"/>
        <v>0</v>
      </c>
      <c r="GF14" s="85">
        <f t="shared" si="8"/>
        <v>0</v>
      </c>
      <c r="GG14" s="85">
        <f t="shared" si="8"/>
        <v>0</v>
      </c>
      <c r="GH14" s="85">
        <f t="shared" si="8"/>
        <v>0</v>
      </c>
      <c r="GI14" s="85">
        <f t="shared" si="8"/>
        <v>0</v>
      </c>
      <c r="GJ14" s="85">
        <f t="shared" si="8"/>
        <v>0</v>
      </c>
      <c r="GK14" s="85">
        <f t="shared" si="8"/>
        <v>0</v>
      </c>
      <c r="GL14" s="85">
        <f t="shared" si="8"/>
        <v>0</v>
      </c>
      <c r="GM14" s="85">
        <f aca="true" t="shared" si="9" ref="GM14:IV14">SUM(GM15:GM19)</f>
        <v>0</v>
      </c>
      <c r="GN14" s="85">
        <f t="shared" si="9"/>
        <v>0</v>
      </c>
      <c r="GO14" s="85">
        <f t="shared" si="9"/>
        <v>0</v>
      </c>
      <c r="GP14" s="85">
        <f t="shared" si="9"/>
        <v>0</v>
      </c>
      <c r="GQ14" s="85">
        <f t="shared" si="9"/>
        <v>0</v>
      </c>
      <c r="GR14" s="85">
        <f t="shared" si="9"/>
        <v>0</v>
      </c>
      <c r="GS14" s="85">
        <f t="shared" si="9"/>
        <v>0</v>
      </c>
      <c r="GT14" s="85">
        <f t="shared" si="9"/>
        <v>0</v>
      </c>
      <c r="GU14" s="85">
        <f t="shared" si="9"/>
        <v>0</v>
      </c>
      <c r="GV14" s="85">
        <f t="shared" si="9"/>
        <v>0</v>
      </c>
      <c r="GW14" s="85">
        <f t="shared" si="9"/>
        <v>0</v>
      </c>
      <c r="GX14" s="85">
        <f t="shared" si="9"/>
        <v>0</v>
      </c>
      <c r="GY14" s="85">
        <f t="shared" si="9"/>
        <v>0</v>
      </c>
      <c r="GZ14" s="85">
        <f t="shared" si="9"/>
        <v>0</v>
      </c>
      <c r="HA14" s="85">
        <f t="shared" si="9"/>
        <v>0</v>
      </c>
      <c r="HB14" s="85">
        <f t="shared" si="9"/>
        <v>0</v>
      </c>
      <c r="HC14" s="85">
        <f t="shared" si="9"/>
        <v>0</v>
      </c>
      <c r="HD14" s="85">
        <f t="shared" si="9"/>
        <v>0</v>
      </c>
      <c r="HE14" s="85">
        <f t="shared" si="9"/>
        <v>0</v>
      </c>
      <c r="HF14" s="85">
        <f t="shared" si="9"/>
        <v>0</v>
      </c>
      <c r="HG14" s="85">
        <f t="shared" si="9"/>
        <v>0</v>
      </c>
      <c r="HH14" s="85">
        <f t="shared" si="9"/>
        <v>0</v>
      </c>
      <c r="HI14" s="85">
        <f t="shared" si="9"/>
        <v>0</v>
      </c>
      <c r="HJ14" s="85">
        <f t="shared" si="9"/>
        <v>0</v>
      </c>
      <c r="HK14" s="85">
        <f t="shared" si="9"/>
        <v>0</v>
      </c>
      <c r="HL14" s="85">
        <f t="shared" si="9"/>
        <v>0</v>
      </c>
      <c r="HM14" s="85">
        <f t="shared" si="9"/>
        <v>0</v>
      </c>
      <c r="HN14" s="85">
        <f t="shared" si="9"/>
        <v>0</v>
      </c>
      <c r="HO14" s="85">
        <f t="shared" si="9"/>
        <v>0</v>
      </c>
      <c r="HP14" s="85">
        <f t="shared" si="9"/>
        <v>0</v>
      </c>
      <c r="HQ14" s="85">
        <f t="shared" si="9"/>
        <v>0</v>
      </c>
      <c r="HR14" s="85">
        <f t="shared" si="9"/>
        <v>0</v>
      </c>
      <c r="HS14" s="85">
        <f t="shared" si="9"/>
        <v>0</v>
      </c>
      <c r="HT14" s="85">
        <f t="shared" si="9"/>
        <v>0</v>
      </c>
      <c r="HU14" s="85">
        <f t="shared" si="9"/>
        <v>0</v>
      </c>
      <c r="HV14" s="85">
        <f t="shared" si="9"/>
        <v>0</v>
      </c>
      <c r="HW14" s="85">
        <f t="shared" si="9"/>
        <v>0</v>
      </c>
      <c r="HX14" s="85">
        <f t="shared" si="9"/>
        <v>0</v>
      </c>
      <c r="HY14" s="85">
        <f t="shared" si="9"/>
        <v>0</v>
      </c>
      <c r="HZ14" s="85">
        <f t="shared" si="9"/>
        <v>0</v>
      </c>
      <c r="IA14" s="85">
        <f t="shared" si="9"/>
        <v>0</v>
      </c>
      <c r="IB14" s="85">
        <f t="shared" si="9"/>
        <v>0</v>
      </c>
      <c r="IC14" s="85">
        <f t="shared" si="9"/>
        <v>0</v>
      </c>
      <c r="ID14" s="85">
        <f t="shared" si="9"/>
        <v>0</v>
      </c>
      <c r="IE14" s="85">
        <f t="shared" si="9"/>
        <v>0</v>
      </c>
      <c r="IF14" s="85">
        <f t="shared" si="9"/>
        <v>0</v>
      </c>
      <c r="IG14" s="85">
        <f t="shared" si="9"/>
        <v>0</v>
      </c>
      <c r="IH14" s="85">
        <f t="shared" si="9"/>
        <v>0</v>
      </c>
      <c r="II14" s="85">
        <f t="shared" si="9"/>
        <v>0</v>
      </c>
      <c r="IJ14" s="85">
        <f t="shared" si="9"/>
        <v>0</v>
      </c>
      <c r="IK14" s="85">
        <f t="shared" si="9"/>
        <v>0</v>
      </c>
      <c r="IL14" s="85">
        <f t="shared" si="9"/>
        <v>0</v>
      </c>
      <c r="IM14" s="85">
        <f t="shared" si="9"/>
        <v>0</v>
      </c>
      <c r="IN14" s="85">
        <f t="shared" si="9"/>
        <v>0</v>
      </c>
      <c r="IO14" s="85">
        <f t="shared" si="9"/>
        <v>0</v>
      </c>
      <c r="IP14" s="85">
        <f t="shared" si="9"/>
        <v>0</v>
      </c>
      <c r="IQ14" s="85">
        <f t="shared" si="9"/>
        <v>0</v>
      </c>
      <c r="IR14" s="85">
        <f t="shared" si="9"/>
        <v>0</v>
      </c>
      <c r="IS14" s="85">
        <f t="shared" si="9"/>
        <v>0</v>
      </c>
      <c r="IT14" s="85">
        <f t="shared" si="9"/>
        <v>0</v>
      </c>
      <c r="IU14" s="85">
        <f t="shared" si="9"/>
        <v>0</v>
      </c>
      <c r="IV14" s="85">
        <f t="shared" si="9"/>
        <v>0</v>
      </c>
    </row>
    <row r="15" spans="1:8" ht="15">
      <c r="A15" s="118" t="s">
        <v>472</v>
      </c>
      <c r="B15" s="85">
        <v>493054950.31000006</v>
      </c>
      <c r="C15" s="85"/>
      <c r="D15" s="85">
        <v>2956344.27</v>
      </c>
      <c r="E15" s="85"/>
      <c r="F15" s="85">
        <f>+B15+C15-D15+E15</f>
        <v>490098606.0400001</v>
      </c>
      <c r="G15" s="85">
        <v>9985615.07</v>
      </c>
      <c r="H15" s="85">
        <v>0</v>
      </c>
    </row>
    <row r="16" spans="1:8" ht="15">
      <c r="A16" s="118" t="s">
        <v>472</v>
      </c>
      <c r="B16" s="85">
        <v>161418609.85000002</v>
      </c>
      <c r="C16" s="85"/>
      <c r="D16" s="85">
        <v>907659</v>
      </c>
      <c r="E16" s="85"/>
      <c r="F16" s="85">
        <f>+B16+C16-D16+E16</f>
        <v>160510950.85000002</v>
      </c>
      <c r="G16" s="85">
        <v>3277669.58</v>
      </c>
      <c r="H16" s="85">
        <v>0</v>
      </c>
    </row>
    <row r="17" spans="1:8" ht="15">
      <c r="A17" s="118" t="s">
        <v>472</v>
      </c>
      <c r="B17" s="85">
        <v>101000147.88000003</v>
      </c>
      <c r="C17" s="85"/>
      <c r="D17" s="85">
        <v>567925.1799999999</v>
      </c>
      <c r="E17" s="85"/>
      <c r="F17" s="85">
        <f>+B17+C17-D17+E17</f>
        <v>100432222.70000002</v>
      </c>
      <c r="G17" s="85">
        <v>2050846.31</v>
      </c>
      <c r="H17" s="85">
        <v>0</v>
      </c>
    </row>
    <row r="18" spans="1:8" ht="15">
      <c r="A18" s="118" t="s">
        <v>473</v>
      </c>
      <c r="B18" s="85">
        <v>787156909.9599999</v>
      </c>
      <c r="C18" s="85"/>
      <c r="D18" s="85">
        <v>2241895.651432394</v>
      </c>
      <c r="E18" s="85"/>
      <c r="F18" s="85">
        <f>+B18+C18-D18+E18</f>
        <v>784915014.3085675</v>
      </c>
      <c r="G18" s="85">
        <v>16136978.919999998</v>
      </c>
      <c r="H18" s="85">
        <v>0</v>
      </c>
    </row>
    <row r="19" spans="1:8" ht="15">
      <c r="A19" s="118" t="s">
        <v>474</v>
      </c>
      <c r="B19" s="85">
        <v>794285018.1600001</v>
      </c>
      <c r="C19" s="85"/>
      <c r="D19" s="85">
        <v>2140519.18</v>
      </c>
      <c r="E19" s="85"/>
      <c r="F19" s="85">
        <f>+B19+C19-D19+E19</f>
        <v>792144498.9800001</v>
      </c>
      <c r="G19" s="85">
        <v>15923088.54</v>
      </c>
      <c r="H19" s="85">
        <v>0</v>
      </c>
    </row>
    <row r="20" spans="1:8" ht="15">
      <c r="A20" s="67" t="s">
        <v>138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</row>
    <row r="21" spans="1:8" ht="15">
      <c r="A21" s="67" t="s">
        <v>139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ht="15">
      <c r="A22" s="34"/>
      <c r="B22" s="93"/>
      <c r="C22" s="93"/>
      <c r="D22" s="93"/>
      <c r="E22" s="93"/>
      <c r="F22" s="93"/>
      <c r="G22" s="93"/>
      <c r="H22" s="93"/>
    </row>
    <row r="23" spans="1:8" ht="15">
      <c r="A23" s="7" t="s">
        <v>140</v>
      </c>
      <c r="B23" s="94">
        <v>332377097.21999985</v>
      </c>
      <c r="C23" s="98"/>
      <c r="D23" s="98"/>
      <c r="E23" s="98"/>
      <c r="F23" s="94">
        <v>273721841.32</v>
      </c>
      <c r="G23" s="98"/>
      <c r="H23" s="98"/>
    </row>
    <row r="24" spans="1:8" ht="15">
      <c r="A24" s="34"/>
      <c r="B24" s="93"/>
      <c r="C24" s="93"/>
      <c r="D24" s="93"/>
      <c r="E24" s="93"/>
      <c r="F24" s="93"/>
      <c r="G24" s="93"/>
      <c r="H24" s="93"/>
    </row>
    <row r="25" spans="1:8" ht="15">
      <c r="A25" s="65" t="s">
        <v>141</v>
      </c>
      <c r="B25" s="87">
        <f>B8+B23</f>
        <v>2669292733.3799996</v>
      </c>
      <c r="C25" s="87">
        <f aca="true" t="shared" si="10" ref="C25:H25">C8+C23</f>
        <v>0</v>
      </c>
      <c r="D25" s="87">
        <f t="shared" si="10"/>
        <v>8814343.281432394</v>
      </c>
      <c r="E25" s="87">
        <f t="shared" si="10"/>
        <v>0</v>
      </c>
      <c r="F25" s="87">
        <f t="shared" si="10"/>
        <v>2601823134.198568</v>
      </c>
      <c r="G25" s="87">
        <f t="shared" si="10"/>
        <v>47374198.42</v>
      </c>
      <c r="H25" s="87">
        <f t="shared" si="10"/>
        <v>0</v>
      </c>
    </row>
    <row r="26" spans="1:8" ht="15">
      <c r="A26" s="34"/>
      <c r="B26" s="86"/>
      <c r="C26" s="86"/>
      <c r="D26" s="86"/>
      <c r="E26" s="86"/>
      <c r="F26" s="86"/>
      <c r="G26" s="86"/>
      <c r="H26" s="86"/>
    </row>
    <row r="27" spans="1:8" ht="17.25">
      <c r="A27" s="65" t="s">
        <v>142</v>
      </c>
      <c r="B27" s="87">
        <f>SUM(B28:DEUDA_CONT_FIN_01)</f>
        <v>0</v>
      </c>
      <c r="C27" s="87">
        <f>SUM(C28:DEUDA_CONT_FIN_02)</f>
        <v>0</v>
      </c>
      <c r="D27" s="87">
        <f>SUM(D28:DEUDA_CONT_FIN_03)</f>
        <v>0</v>
      </c>
      <c r="E27" s="87">
        <f>SUM(E28:DEUDA_CONT_FIN_04)</f>
        <v>0</v>
      </c>
      <c r="F27" s="87">
        <f>SUM(F28:DEUDA_CONT_FIN_05)</f>
        <v>0</v>
      </c>
      <c r="G27" s="87">
        <f>SUM(G28:DEUDA_CONT_FIN_06)</f>
        <v>0</v>
      </c>
      <c r="H27" s="87">
        <f>SUM(H28:DEUDA_CONT_FIN_07)</f>
        <v>0</v>
      </c>
    </row>
    <row r="28" spans="1:8" ht="15">
      <c r="A28" s="68" t="s">
        <v>143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</row>
    <row r="29" spans="1:8" ht="15">
      <c r="A29" s="68" t="s">
        <v>144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</row>
    <row r="30" spans="1:8" ht="15">
      <c r="A30" s="68" t="s">
        <v>145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ht="15">
      <c r="A31" s="41" t="s">
        <v>146</v>
      </c>
      <c r="B31" s="86"/>
      <c r="C31" s="86"/>
      <c r="D31" s="86"/>
      <c r="E31" s="86"/>
      <c r="F31" s="86"/>
      <c r="G31" s="86"/>
      <c r="H31" s="86"/>
    </row>
    <row r="32" spans="1:8" ht="17.25">
      <c r="A32" s="65" t="s">
        <v>147</v>
      </c>
      <c r="B32" s="87">
        <f>SUM(B33:VALOR_INS_BCC_FIN_01)</f>
        <v>476222500</v>
      </c>
      <c r="C32" s="87">
        <f>SUM(C33:VALOR_INS_BCC_FIN_02)</f>
        <v>0</v>
      </c>
      <c r="D32" s="87">
        <f>SUM(D33:VALOR_INS_BCC_FIN_03)</f>
        <v>0</v>
      </c>
      <c r="E32" s="87">
        <f>SUM(E33:VALOR_INS_BCC_FIN_04)</f>
        <v>0</v>
      </c>
      <c r="F32" s="87">
        <f>SUM(F33:VALOR_INS_BCC_FIN_05)</f>
        <v>476222500</v>
      </c>
      <c r="G32" s="87">
        <f>SUM(G33:VALOR_INS_BCC_FIN_06)</f>
        <v>9836917</v>
      </c>
      <c r="H32" s="87">
        <f>SUM(H33:zfds)</f>
        <v>0</v>
      </c>
    </row>
    <row r="33" spans="1:8" ht="17.25">
      <c r="A33" s="68" t="s">
        <v>466</v>
      </c>
      <c r="B33" s="85">
        <v>83449015</v>
      </c>
      <c r="C33" s="85">
        <v>0</v>
      </c>
      <c r="D33" s="85">
        <v>0</v>
      </c>
      <c r="E33" s="85">
        <v>0</v>
      </c>
      <c r="F33" s="85">
        <v>83449015</v>
      </c>
      <c r="G33" s="85">
        <v>1790885.41</v>
      </c>
      <c r="H33" s="85">
        <v>0</v>
      </c>
    </row>
    <row r="34" spans="1:8" ht="17.25">
      <c r="A34" s="68" t="s">
        <v>467</v>
      </c>
      <c r="B34" s="85">
        <v>208708907</v>
      </c>
      <c r="C34" s="85">
        <v>0</v>
      </c>
      <c r="D34" s="85">
        <v>0</v>
      </c>
      <c r="E34" s="85">
        <v>0</v>
      </c>
      <c r="F34" s="85">
        <v>208708907</v>
      </c>
      <c r="G34" s="85">
        <v>4217991.26</v>
      </c>
      <c r="H34" s="85">
        <v>0</v>
      </c>
    </row>
    <row r="35" spans="1:8" ht="17.25">
      <c r="A35" s="68" t="s">
        <v>468</v>
      </c>
      <c r="B35" s="85">
        <v>72675017</v>
      </c>
      <c r="C35" s="85">
        <v>0</v>
      </c>
      <c r="D35" s="85">
        <v>0</v>
      </c>
      <c r="E35" s="85">
        <v>0</v>
      </c>
      <c r="F35" s="85">
        <v>72675017</v>
      </c>
      <c r="G35" s="85">
        <v>1548086.23</v>
      </c>
      <c r="H35" s="85">
        <v>0</v>
      </c>
    </row>
    <row r="36" spans="1:8" ht="17.25">
      <c r="A36" s="68" t="s">
        <v>469</v>
      </c>
      <c r="B36" s="85">
        <v>6854706</v>
      </c>
      <c r="C36" s="85">
        <v>0</v>
      </c>
      <c r="D36" s="85">
        <v>0</v>
      </c>
      <c r="E36" s="85">
        <v>0</v>
      </c>
      <c r="F36" s="85">
        <v>6854706</v>
      </c>
      <c r="G36" s="85">
        <v>145588.17</v>
      </c>
      <c r="H36" s="85">
        <v>0</v>
      </c>
    </row>
    <row r="37" spans="1:8" ht="17.25">
      <c r="A37" s="68" t="s">
        <v>470</v>
      </c>
      <c r="B37" s="85">
        <v>104534855</v>
      </c>
      <c r="C37" s="85">
        <v>0</v>
      </c>
      <c r="D37" s="85">
        <v>0</v>
      </c>
      <c r="E37" s="85"/>
      <c r="F37" s="85">
        <v>104534855</v>
      </c>
      <c r="G37" s="85">
        <v>2134365.9299999997</v>
      </c>
      <c r="H37" s="85">
        <v>0</v>
      </c>
    </row>
    <row r="38" spans="1:8" ht="15">
      <c r="A38" s="69" t="s">
        <v>146</v>
      </c>
      <c r="B38" s="95"/>
      <c r="C38" s="43"/>
      <c r="D38" s="43"/>
      <c r="E38" s="43"/>
      <c r="F38" s="43"/>
      <c r="G38" s="43"/>
      <c r="H38" s="43"/>
    </row>
    <row r="39" spans="1:8" ht="15">
      <c r="A39" s="70"/>
      <c r="B39" s="96"/>
      <c r="C39" s="39"/>
      <c r="D39" s="39"/>
      <c r="E39" s="39"/>
      <c r="F39" s="39"/>
      <c r="G39" s="39"/>
      <c r="H39" s="39"/>
    </row>
    <row r="40" spans="1:8" ht="15">
      <c r="A40" s="138" t="s">
        <v>471</v>
      </c>
      <c r="B40" s="139"/>
      <c r="C40" s="139"/>
      <c r="D40" s="139"/>
      <c r="E40" s="139"/>
      <c r="F40" s="139"/>
      <c r="G40" s="139"/>
      <c r="H40" s="139"/>
    </row>
    <row r="41" spans="1:8" ht="15">
      <c r="A41" s="139"/>
      <c r="B41" s="139"/>
      <c r="C41" s="139"/>
      <c r="D41" s="139"/>
      <c r="E41" s="139"/>
      <c r="F41" s="139"/>
      <c r="G41" s="139"/>
      <c r="H41" s="139"/>
    </row>
    <row r="42" spans="1:8" ht="15">
      <c r="A42" s="139"/>
      <c r="B42" s="139"/>
      <c r="C42" s="139"/>
      <c r="D42" s="139"/>
      <c r="E42" s="139"/>
      <c r="F42" s="139"/>
      <c r="G42" s="139"/>
      <c r="H42" s="139"/>
    </row>
    <row r="43" spans="1:8" ht="15">
      <c r="A43" s="139"/>
      <c r="B43" s="139"/>
      <c r="C43" s="139"/>
      <c r="D43" s="139"/>
      <c r="E43" s="139"/>
      <c r="F43" s="139"/>
      <c r="G43" s="139"/>
      <c r="H43" s="139"/>
    </row>
    <row r="44" spans="1:8" ht="15">
      <c r="A44" s="139"/>
      <c r="B44" s="139"/>
      <c r="C44" s="139"/>
      <c r="D44" s="139"/>
      <c r="E44" s="139"/>
      <c r="F44" s="139"/>
      <c r="G44" s="139"/>
      <c r="H44" s="139"/>
    </row>
    <row r="45" spans="1:8" ht="15">
      <c r="A45" s="70"/>
      <c r="B45" s="96"/>
      <c r="C45" s="39"/>
      <c r="D45" s="39"/>
      <c r="E45" s="39"/>
      <c r="F45" s="39"/>
      <c r="G45" s="39"/>
      <c r="H45" s="39"/>
    </row>
    <row r="46" spans="1:8" ht="30">
      <c r="A46" s="5" t="s">
        <v>148</v>
      </c>
      <c r="B46" s="97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9"/>
      <c r="H46" s="39"/>
    </row>
    <row r="47" spans="1:8" ht="15">
      <c r="A47" s="34"/>
      <c r="B47" s="92"/>
      <c r="C47" s="59"/>
      <c r="D47" s="59"/>
      <c r="E47" s="59"/>
      <c r="F47" s="59"/>
      <c r="G47" s="39"/>
      <c r="H47" s="39"/>
    </row>
    <row r="48" spans="1:8" ht="15">
      <c r="A48" s="65" t="s">
        <v>154</v>
      </c>
      <c r="B48" s="87">
        <f>SUM(B49:OB_CORTO_PLAZO_FIN_01)</f>
        <v>0</v>
      </c>
      <c r="C48" s="87">
        <f>SUM(C49:fgsgfdfdfzxvzcvczv)</f>
        <v>0</v>
      </c>
      <c r="D48" s="87">
        <f>SUM(D49:OB_CORTO_PLAZO_FIN_03)</f>
        <v>0</v>
      </c>
      <c r="E48" s="87">
        <f>SUM(E49:gfhdhdgh)</f>
        <v>0</v>
      </c>
      <c r="F48" s="87">
        <f>SUM(F49:OB_CORTO_PLAZO_FIN_05)</f>
        <v>0</v>
      </c>
      <c r="G48" s="39"/>
      <c r="H48" s="39"/>
    </row>
    <row r="49" spans="1:8" ht="15">
      <c r="A49" s="68" t="s">
        <v>155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71"/>
      <c r="H49" s="71"/>
    </row>
    <row r="50" spans="1:8" ht="15">
      <c r="A50" s="68" t="s">
        <v>156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71"/>
      <c r="H50" s="71"/>
    </row>
    <row r="51" spans="1:8" ht="15">
      <c r="A51" s="68" t="s">
        <v>157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71"/>
      <c r="H51" s="71"/>
    </row>
    <row r="52" spans="1:8" ht="15">
      <c r="A52" s="72" t="s">
        <v>146</v>
      </c>
      <c r="B52" s="95"/>
      <c r="C52" s="43"/>
      <c r="D52" s="43"/>
      <c r="E52" s="43"/>
      <c r="F52" s="43"/>
      <c r="G52" s="39"/>
      <c r="H52" s="39"/>
    </row>
    <row r="53" spans="1:8" ht="15">
      <c r="A53" s="39"/>
      <c r="B53" s="96"/>
      <c r="C53" s="39"/>
      <c r="D53" s="39"/>
      <c r="E53" s="39"/>
      <c r="F53" s="39"/>
      <c r="G53" s="39"/>
      <c r="H53" s="39"/>
    </row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8" r:id="rId1"/>
  <ignoredErrors>
    <ignoredError sqref="B8:H8 B9:H9 B25:H25 B27:H27 B32:H32 F15:F19 B13:G13 H13" unlockedFormula="1"/>
    <ignoredError sqref="B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6" sqref="A6"/>
    </sheetView>
  </sheetViews>
  <sheetFormatPr defaultColWidth="0" defaultRowHeight="15" customHeight="1" zeroHeight="1"/>
  <cols>
    <col min="1" max="1" width="76.28125" style="0" customWidth="1"/>
    <col min="2" max="4" width="20.7109375" style="0" customWidth="1"/>
    <col min="5" max="5" width="20.7109375" style="39" customWidth="1"/>
    <col min="6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12" customFormat="1" ht="37.5" customHeight="1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1"/>
    </row>
    <row r="2" spans="1:11" ht="15">
      <c r="A2" s="126" t="s">
        <v>291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1" ht="15">
      <c r="A3" s="129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">
      <c r="A4" s="132" t="s">
        <v>478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5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479</v>
      </c>
      <c r="J6" s="2" t="s">
        <v>480</v>
      </c>
      <c r="K6" s="2" t="s">
        <v>481</v>
      </c>
    </row>
    <row r="7" spans="1:11" ht="15">
      <c r="A7" s="25"/>
      <c r="B7" s="8"/>
      <c r="C7" s="8"/>
      <c r="D7" s="8"/>
      <c r="E7" s="59"/>
      <c r="F7" s="8"/>
      <c r="G7" s="59"/>
      <c r="H7" s="59"/>
      <c r="I7" s="59"/>
      <c r="J7" s="59"/>
      <c r="K7" s="59"/>
    </row>
    <row r="8" spans="1:11" ht="15">
      <c r="A8" s="62" t="s">
        <v>168</v>
      </c>
      <c r="B8" s="13"/>
      <c r="C8" s="13"/>
      <c r="D8" s="13"/>
      <c r="E8" s="87">
        <f>SUM(E9:APP_FIN_04)</f>
        <v>0</v>
      </c>
      <c r="F8" s="99"/>
      <c r="G8" s="87">
        <f>SUM(G9:APP_FIN_06)</f>
        <v>0</v>
      </c>
      <c r="H8" s="87">
        <f>SUM(H9:APP_FIN_07)</f>
        <v>0</v>
      </c>
      <c r="I8" s="87">
        <f>SUM(I9:APP_FIN_08)</f>
        <v>0</v>
      </c>
      <c r="J8" s="87">
        <f>SUM(J9:APP_FIN_09)</f>
        <v>0</v>
      </c>
      <c r="K8" s="87">
        <f>SUM(K9:APP_FIN_10)</f>
        <v>0</v>
      </c>
    </row>
    <row r="9" spans="1:11" s="10" customFormat="1" ht="15">
      <c r="A9" s="63" t="s">
        <v>169</v>
      </c>
      <c r="B9" s="60"/>
      <c r="C9" s="60"/>
      <c r="D9" s="60"/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f>E9-J9</f>
        <v>0</v>
      </c>
    </row>
    <row r="10" spans="1:11" s="10" customFormat="1" ht="15">
      <c r="A10" s="63" t="s">
        <v>170</v>
      </c>
      <c r="B10" s="60"/>
      <c r="C10" s="60"/>
      <c r="D10" s="60"/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f>E10-J10</f>
        <v>0</v>
      </c>
    </row>
    <row r="11" spans="1:11" s="10" customFormat="1" ht="15">
      <c r="A11" s="63" t="s">
        <v>171</v>
      </c>
      <c r="B11" s="60"/>
      <c r="C11" s="60"/>
      <c r="D11" s="60"/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f>E11-J11</f>
        <v>0</v>
      </c>
    </row>
    <row r="12" spans="1:11" s="10" customFormat="1" ht="15">
      <c r="A12" s="63" t="s">
        <v>172</v>
      </c>
      <c r="B12" s="60"/>
      <c r="C12" s="60"/>
      <c r="D12" s="60"/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f>E12-J12</f>
        <v>0</v>
      </c>
    </row>
    <row r="13" spans="1:11" ht="15">
      <c r="A13" s="64" t="s">
        <v>146</v>
      </c>
      <c r="B13" s="61"/>
      <c r="C13" s="61"/>
      <c r="D13" s="61"/>
      <c r="E13" s="86"/>
      <c r="F13" s="86"/>
      <c r="G13" s="86"/>
      <c r="H13" s="86"/>
      <c r="I13" s="86"/>
      <c r="J13" s="86"/>
      <c r="K13" s="86"/>
    </row>
    <row r="14" spans="1:11" ht="15">
      <c r="A14" s="62" t="s">
        <v>173</v>
      </c>
      <c r="B14" s="13"/>
      <c r="C14" s="13"/>
      <c r="D14" s="13"/>
      <c r="E14" s="87">
        <f>SUM(E15:OTROS_FIN_04)</f>
        <v>0</v>
      </c>
      <c r="F14" s="99"/>
      <c r="G14" s="87">
        <f>SUM(G15:OTROS_FIN_06)</f>
        <v>0</v>
      </c>
      <c r="H14" s="87">
        <f>SUM(H15:OTROS_FIN_07)</f>
        <v>0</v>
      </c>
      <c r="I14" s="87">
        <f>SUM(I15:OTROS_FIN_08)</f>
        <v>0</v>
      </c>
      <c r="J14" s="87">
        <f>SUM(J15:OTROS_FIN_09)</f>
        <v>0</v>
      </c>
      <c r="K14" s="87">
        <f>SUM(K15:OTROS_FIN_10)</f>
        <v>0</v>
      </c>
    </row>
    <row r="15" spans="1:11" s="10" customFormat="1" ht="15">
      <c r="A15" s="63" t="s">
        <v>174</v>
      </c>
      <c r="B15" s="60"/>
      <c r="C15" s="60"/>
      <c r="D15" s="60"/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f>E15-J15</f>
        <v>0</v>
      </c>
    </row>
    <row r="16" spans="1:11" s="10" customFormat="1" ht="15">
      <c r="A16" s="63" t="s">
        <v>175</v>
      </c>
      <c r="B16" s="60"/>
      <c r="C16" s="60"/>
      <c r="D16" s="60"/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f>E16-J16</f>
        <v>0</v>
      </c>
    </row>
    <row r="17" spans="1:11" s="10" customFormat="1" ht="15">
      <c r="A17" s="63" t="s">
        <v>176</v>
      </c>
      <c r="B17" s="60"/>
      <c r="C17" s="60"/>
      <c r="D17" s="60"/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f>E17-J17</f>
        <v>0</v>
      </c>
    </row>
    <row r="18" spans="1:11" s="10" customFormat="1" ht="15">
      <c r="A18" s="63" t="s">
        <v>177</v>
      </c>
      <c r="B18" s="60"/>
      <c r="C18" s="60"/>
      <c r="D18" s="60"/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f>E18-J18</f>
        <v>0</v>
      </c>
    </row>
    <row r="19" spans="1:11" ht="15">
      <c r="A19" s="64" t="s">
        <v>146</v>
      </c>
      <c r="B19" s="61"/>
      <c r="C19" s="61"/>
      <c r="D19" s="61"/>
      <c r="E19" s="86"/>
      <c r="F19" s="86"/>
      <c r="G19" s="86"/>
      <c r="H19" s="86"/>
      <c r="I19" s="86"/>
      <c r="J19" s="86"/>
      <c r="K19" s="86"/>
    </row>
    <row r="20" spans="1:11" ht="15">
      <c r="A20" s="62" t="s">
        <v>178</v>
      </c>
      <c r="B20" s="13"/>
      <c r="C20" s="13"/>
      <c r="D20" s="13"/>
      <c r="E20" s="87">
        <f>fdggdfgdgfd+sdfsdfsfds</f>
        <v>0</v>
      </c>
      <c r="F20" s="99"/>
      <c r="G20" s="87">
        <f>sdfsfsdf+OTROS_T6</f>
        <v>0</v>
      </c>
      <c r="H20" s="87">
        <f>APP_T7+dsfdsdsdsdsdsdsdsdsdsdsdsdsdsdsdsdsdsdsdsdsdsdsdsdsdsdsdsdsdsdsdsdsdsds</f>
        <v>0</v>
      </c>
      <c r="I20" s="87">
        <f>APP_T8+dsfsfdsffffffff</f>
        <v>0</v>
      </c>
      <c r="J20" s="87">
        <f>fdsfdsfdsfdsfdsfdsfdsfdsfdsfdsfdsfds+OTROS_T9</f>
        <v>0</v>
      </c>
      <c r="K20" s="87">
        <f>APP_T10+OTROS_T10</f>
        <v>0</v>
      </c>
    </row>
    <row r="21" spans="1:11" ht="15">
      <c r="A21" s="35"/>
      <c r="B21" s="9"/>
      <c r="C21" s="9"/>
      <c r="D21" s="9"/>
      <c r="E21" s="43"/>
      <c r="F21" s="9"/>
      <c r="G21" s="43"/>
      <c r="H21" s="43"/>
      <c r="I21" s="43"/>
      <c r="J21" s="43"/>
      <c r="K21" s="43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1">
      <selection activeCell="C69" sqref="C69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6384" width="11.421875" style="0" hidden="1" customWidth="1"/>
  </cols>
  <sheetData>
    <row r="1" spans="1:4" ht="21">
      <c r="A1" s="141" t="s">
        <v>179</v>
      </c>
      <c r="B1" s="141"/>
      <c r="C1" s="141"/>
      <c r="D1" s="141"/>
    </row>
    <row r="2" spans="1:4" ht="15">
      <c r="A2" s="126" t="s">
        <v>291</v>
      </c>
      <c r="B2" s="127"/>
      <c r="C2" s="127"/>
      <c r="D2" s="128"/>
    </row>
    <row r="3" spans="1:4" ht="15">
      <c r="A3" s="129" t="s">
        <v>180</v>
      </c>
      <c r="B3" s="130"/>
      <c r="C3" s="130"/>
      <c r="D3" s="131"/>
    </row>
    <row r="4" spans="1:4" ht="15">
      <c r="A4" s="132" t="s">
        <v>478</v>
      </c>
      <c r="B4" s="133"/>
      <c r="C4" s="133"/>
      <c r="D4" s="134"/>
    </row>
    <row r="5" spans="1:4" ht="15">
      <c r="A5" s="135" t="s">
        <v>2</v>
      </c>
      <c r="B5" s="136"/>
      <c r="C5" s="136"/>
      <c r="D5" s="137"/>
    </row>
    <row r="6" spans="1:4" ht="15">
      <c r="A6" s="39"/>
      <c r="B6" s="39"/>
      <c r="C6" s="39"/>
      <c r="D6" s="39"/>
    </row>
    <row r="7" spans="1:4" ht="30">
      <c r="A7" s="14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3" t="s">
        <v>184</v>
      </c>
      <c r="B8" s="49">
        <f>SUM(B9:B11)</f>
        <v>21945510878</v>
      </c>
      <c r="C8" s="49">
        <f>SUM(C9:C11)</f>
        <v>6417326613.55</v>
      </c>
      <c r="D8" s="49">
        <f>SUM(D9:D11)</f>
        <v>6417277510.35</v>
      </c>
    </row>
    <row r="9" spans="1:4" ht="15">
      <c r="A9" s="20" t="s">
        <v>185</v>
      </c>
      <c r="B9" s="51">
        <v>10872529362</v>
      </c>
      <c r="C9" s="51">
        <v>3506920292.3199997</v>
      </c>
      <c r="D9" s="58">
        <v>3506871189.12</v>
      </c>
    </row>
    <row r="10" spans="1:4" ht="15">
      <c r="A10" s="20" t="s">
        <v>186</v>
      </c>
      <c r="B10" s="51">
        <v>11110212505</v>
      </c>
      <c r="C10" s="51">
        <v>2919220664.51</v>
      </c>
      <c r="D10" s="58">
        <v>2919220664.51</v>
      </c>
    </row>
    <row r="11" spans="1:4" ht="15">
      <c r="A11" s="20" t="s">
        <v>187</v>
      </c>
      <c r="B11" s="51">
        <f>B44</f>
        <v>-37230989</v>
      </c>
      <c r="C11" s="51">
        <f>C44</f>
        <v>-8814343.28</v>
      </c>
      <c r="D11" s="51">
        <f>D44</f>
        <v>-8814343.28</v>
      </c>
    </row>
    <row r="12" spans="1:4" ht="15">
      <c r="A12" s="22"/>
      <c r="B12" s="42"/>
      <c r="C12" s="42"/>
      <c r="D12" s="42"/>
    </row>
    <row r="13" spans="1:4" ht="15">
      <c r="A13" s="23" t="s">
        <v>188</v>
      </c>
      <c r="B13" s="49">
        <f>B14+B15</f>
        <v>21945510878</v>
      </c>
      <c r="C13" s="49">
        <f>C14+C15</f>
        <v>5438222858.95</v>
      </c>
      <c r="D13" s="49">
        <f>D14+D15</f>
        <v>5094428882.11</v>
      </c>
    </row>
    <row r="14" spans="1:4" ht="15">
      <c r="A14" s="20" t="s">
        <v>189</v>
      </c>
      <c r="B14" s="51">
        <v>10835298373</v>
      </c>
      <c r="C14" s="51">
        <v>2486518887.27</v>
      </c>
      <c r="D14" s="51">
        <v>2475146323.49</v>
      </c>
    </row>
    <row r="15" spans="1:4" ht="15">
      <c r="A15" s="20" t="s">
        <v>190</v>
      </c>
      <c r="B15" s="51">
        <v>11110212505</v>
      </c>
      <c r="C15" s="51">
        <v>2951703971.68</v>
      </c>
      <c r="D15" s="51">
        <v>2619282558.62</v>
      </c>
    </row>
    <row r="16" spans="1:4" ht="15">
      <c r="A16" s="22"/>
      <c r="B16" s="42"/>
      <c r="C16" s="42"/>
      <c r="D16" s="42"/>
    </row>
    <row r="17" spans="1:4" ht="15">
      <c r="A17" s="23" t="s">
        <v>191</v>
      </c>
      <c r="B17" s="16">
        <f>B18+B19</f>
        <v>0</v>
      </c>
      <c r="C17" s="15">
        <f>C18+C19</f>
        <v>202263218.76999995</v>
      </c>
      <c r="D17" s="15">
        <f>D18+D19</f>
        <v>201628774.99000004</v>
      </c>
    </row>
    <row r="18" spans="1:4" ht="15">
      <c r="A18" s="20" t="s">
        <v>192</v>
      </c>
      <c r="B18" s="17">
        <v>0</v>
      </c>
      <c r="C18" s="51">
        <v>176302307.17999995</v>
      </c>
      <c r="D18" s="51">
        <v>175667863.40000004</v>
      </c>
    </row>
    <row r="19" spans="1:4" ht="15">
      <c r="A19" s="20" t="s">
        <v>193</v>
      </c>
      <c r="B19" s="17">
        <v>0</v>
      </c>
      <c r="C19" s="51">
        <v>25960911.59</v>
      </c>
      <c r="D19" s="58">
        <v>25960911.59</v>
      </c>
    </row>
    <row r="20" spans="1:4" ht="15">
      <c r="A20" s="22"/>
      <c r="B20" s="42"/>
      <c r="C20" s="42"/>
      <c r="D20" s="42"/>
    </row>
    <row r="21" spans="1:4" ht="15">
      <c r="A21" s="23" t="s">
        <v>194</v>
      </c>
      <c r="B21" s="100">
        <f>B8-B13+B17</f>
        <v>0</v>
      </c>
      <c r="C21" s="49">
        <f>C8-C13+C17</f>
        <v>1181366973.3700004</v>
      </c>
      <c r="D21" s="49">
        <f>D8-D13+D17</f>
        <v>1524477403.2300007</v>
      </c>
    </row>
    <row r="22" spans="1:4" ht="15">
      <c r="A22" s="23"/>
      <c r="B22" s="42"/>
      <c r="C22" s="42"/>
      <c r="D22" s="42"/>
    </row>
    <row r="23" spans="1:4" ht="15">
      <c r="A23" s="23" t="s">
        <v>195</v>
      </c>
      <c r="B23" s="49">
        <f>B21-B11</f>
        <v>37230989</v>
      </c>
      <c r="C23" s="49">
        <f>C21-C11</f>
        <v>1190181316.6500003</v>
      </c>
      <c r="D23" s="49">
        <f>D21-D11</f>
        <v>1533291746.5100007</v>
      </c>
    </row>
    <row r="24" spans="1:4" ht="15">
      <c r="A24" s="23"/>
      <c r="B24" s="57"/>
      <c r="C24" s="57"/>
      <c r="D24" s="57"/>
    </row>
    <row r="25" spans="1:4" ht="15">
      <c r="A25" s="45" t="s">
        <v>196</v>
      </c>
      <c r="B25" s="49">
        <f>B23-B17</f>
        <v>37230989</v>
      </c>
      <c r="C25" s="49">
        <f>C23-C17</f>
        <v>987918097.8800004</v>
      </c>
      <c r="D25" s="49">
        <f>D23-D17</f>
        <v>1331662971.5200007</v>
      </c>
    </row>
    <row r="26" spans="1:4" ht="15">
      <c r="A26" s="56"/>
      <c r="B26" s="43"/>
      <c r="C26" s="43"/>
      <c r="D26" s="43"/>
    </row>
    <row r="27" spans="1:4" ht="15">
      <c r="A27" s="70"/>
      <c r="B27" s="39"/>
      <c r="C27" s="39"/>
      <c r="D27" s="39"/>
    </row>
    <row r="28" spans="1:4" ht="15">
      <c r="A28" s="14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3" t="s">
        <v>200</v>
      </c>
      <c r="B29" s="27">
        <f>B30+B31</f>
        <v>269176179</v>
      </c>
      <c r="C29" s="27">
        <f>C30+C31</f>
        <v>57211115.42</v>
      </c>
      <c r="D29" s="27">
        <f>D30+D31</f>
        <v>57211115.42</v>
      </c>
    </row>
    <row r="30" spans="1:4" ht="15">
      <c r="A30" s="20" t="s">
        <v>201</v>
      </c>
      <c r="B30" s="28">
        <v>269176179</v>
      </c>
      <c r="C30" s="28">
        <v>57211115.42</v>
      </c>
      <c r="D30" s="28">
        <v>57211115.42</v>
      </c>
    </row>
    <row r="31" spans="1:4" ht="15">
      <c r="A31" s="20" t="s">
        <v>202</v>
      </c>
      <c r="B31" s="85">
        <v>0</v>
      </c>
      <c r="C31" s="85">
        <v>0</v>
      </c>
      <c r="D31" s="85">
        <v>0</v>
      </c>
    </row>
    <row r="32" spans="1:4" ht="15">
      <c r="A32" s="34"/>
      <c r="B32" s="29"/>
      <c r="C32" s="29"/>
      <c r="D32" s="29"/>
    </row>
    <row r="33" spans="1:4" ht="15">
      <c r="A33" s="23" t="s">
        <v>203</v>
      </c>
      <c r="B33" s="27">
        <f>B25+B29</f>
        <v>306407168</v>
      </c>
      <c r="C33" s="27">
        <f>C25+C29</f>
        <v>1045129213.3000003</v>
      </c>
      <c r="D33" s="27">
        <f>D25+D29</f>
        <v>1388874086.9400008</v>
      </c>
    </row>
    <row r="34" spans="1:4" ht="15">
      <c r="A34" s="35"/>
      <c r="B34" s="35"/>
      <c r="C34" s="35"/>
      <c r="D34" s="35"/>
    </row>
    <row r="35" spans="1:4" ht="15">
      <c r="A35" s="70"/>
      <c r="B35" s="39"/>
      <c r="C35" s="39"/>
      <c r="D35" s="39"/>
    </row>
    <row r="36" spans="1:4" ht="30">
      <c r="A36" s="14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3" t="s">
        <v>205</v>
      </c>
      <c r="B37" s="87">
        <f>B38+B39</f>
        <v>0</v>
      </c>
      <c r="C37" s="87">
        <f>C38+C39</f>
        <v>0</v>
      </c>
      <c r="D37" s="87">
        <f>D38+D39</f>
        <v>0</v>
      </c>
    </row>
    <row r="38" spans="1:4" ht="15">
      <c r="A38" s="20" t="s">
        <v>206</v>
      </c>
      <c r="B38" s="85">
        <v>0</v>
      </c>
      <c r="C38" s="85">
        <v>0</v>
      </c>
      <c r="D38" s="85">
        <v>0</v>
      </c>
    </row>
    <row r="39" spans="1:4" ht="15">
      <c r="A39" s="20" t="s">
        <v>207</v>
      </c>
      <c r="B39" s="85">
        <v>0</v>
      </c>
      <c r="C39" s="85">
        <v>0</v>
      </c>
      <c r="D39" s="85">
        <v>0</v>
      </c>
    </row>
    <row r="40" spans="1:4" ht="15">
      <c r="A40" s="23" t="s">
        <v>208</v>
      </c>
      <c r="B40" s="87">
        <f>B41+B42</f>
        <v>37230989</v>
      </c>
      <c r="C40" s="87">
        <f>C41+C42</f>
        <v>8814343.28</v>
      </c>
      <c r="D40" s="87">
        <f>D41+D42</f>
        <v>8814343.28</v>
      </c>
    </row>
    <row r="41" spans="1:4" ht="15">
      <c r="A41" s="20" t="s">
        <v>209</v>
      </c>
      <c r="B41" s="85">
        <v>37230989</v>
      </c>
      <c r="C41" s="85">
        <v>8814343.28</v>
      </c>
      <c r="D41" s="85">
        <v>8814343.28</v>
      </c>
    </row>
    <row r="42" spans="1:4" ht="15">
      <c r="A42" s="20" t="s">
        <v>210</v>
      </c>
      <c r="B42" s="85">
        <v>0</v>
      </c>
      <c r="C42" s="85">
        <v>0</v>
      </c>
      <c r="D42" s="85">
        <v>0</v>
      </c>
    </row>
    <row r="43" spans="1:4" ht="15">
      <c r="A43" s="34"/>
      <c r="B43" s="86"/>
      <c r="C43" s="86"/>
      <c r="D43" s="86"/>
    </row>
    <row r="44" spans="1:4" ht="15">
      <c r="A44" s="23" t="s">
        <v>211</v>
      </c>
      <c r="B44" s="87">
        <f>B37-B40</f>
        <v>-37230989</v>
      </c>
      <c r="C44" s="87">
        <f>C37-C40</f>
        <v>-8814343.28</v>
      </c>
      <c r="D44" s="87">
        <f>D37-D40</f>
        <v>-8814343.28</v>
      </c>
    </row>
    <row r="45" spans="1:4" ht="15">
      <c r="A45" s="55"/>
      <c r="B45" s="35"/>
      <c r="C45" s="35"/>
      <c r="D45" s="35"/>
    </row>
    <row r="46" spans="1:4" ht="15">
      <c r="A46" s="39"/>
      <c r="B46" s="39"/>
      <c r="C46" s="39"/>
      <c r="D46" s="39"/>
    </row>
    <row r="47" spans="1:4" ht="30">
      <c r="A47" s="14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6" t="s">
        <v>212</v>
      </c>
      <c r="B48" s="52">
        <f>B9</f>
        <v>10872529362</v>
      </c>
      <c r="C48" s="52">
        <f>C9</f>
        <v>3506920292.3199997</v>
      </c>
      <c r="D48" s="52">
        <f>D9</f>
        <v>3506871189.12</v>
      </c>
    </row>
    <row r="49" spans="1:4" ht="15">
      <c r="A49" s="48" t="s">
        <v>213</v>
      </c>
      <c r="B49" s="27">
        <f>B50-B51</f>
        <v>-37230989</v>
      </c>
      <c r="C49" s="27">
        <f>C50-C51</f>
        <v>-8814343.28</v>
      </c>
      <c r="D49" s="27">
        <f>D50-D51</f>
        <v>-8814343.28</v>
      </c>
    </row>
    <row r="50" spans="1:4" ht="15">
      <c r="A50" s="50" t="s">
        <v>206</v>
      </c>
      <c r="B50" s="85">
        <f>+B38</f>
        <v>0</v>
      </c>
      <c r="C50" s="85">
        <f>+C38</f>
        <v>0</v>
      </c>
      <c r="D50" s="85">
        <f>+D38</f>
        <v>0</v>
      </c>
    </row>
    <row r="51" spans="1:4" ht="15">
      <c r="A51" s="50" t="s">
        <v>209</v>
      </c>
      <c r="B51" s="85">
        <f>+B41</f>
        <v>37230989</v>
      </c>
      <c r="C51" s="85">
        <f>+C41</f>
        <v>8814343.28</v>
      </c>
      <c r="D51" s="85">
        <f>+D41</f>
        <v>8814343.28</v>
      </c>
    </row>
    <row r="52" spans="1:4" ht="15">
      <c r="A52" s="34"/>
      <c r="B52" s="86"/>
      <c r="C52" s="86"/>
      <c r="D52" s="86"/>
    </row>
    <row r="53" spans="1:4" ht="15">
      <c r="A53" s="20" t="s">
        <v>189</v>
      </c>
      <c r="B53" s="85">
        <f>B14</f>
        <v>10835298373</v>
      </c>
      <c r="C53" s="85">
        <f>C14</f>
        <v>2486518887.27</v>
      </c>
      <c r="D53" s="85">
        <f>D14</f>
        <v>2475146323.49</v>
      </c>
    </row>
    <row r="54" spans="1:4" ht="15">
      <c r="A54" s="34"/>
      <c r="B54" s="86"/>
      <c r="C54" s="86"/>
      <c r="D54" s="86"/>
    </row>
    <row r="55" spans="1:4" ht="15">
      <c r="A55" s="20" t="s">
        <v>192</v>
      </c>
      <c r="B55" s="101">
        <f>B18</f>
        <v>0</v>
      </c>
      <c r="C55" s="102">
        <f>C18</f>
        <v>176302307.17999995</v>
      </c>
      <c r="D55" s="102">
        <f>D18</f>
        <v>175667863.40000004</v>
      </c>
    </row>
    <row r="56" spans="1:4" ht="15">
      <c r="A56" s="34"/>
      <c r="B56" s="86"/>
      <c r="C56" s="86"/>
      <c r="D56" s="86"/>
    </row>
    <row r="57" spans="1:4" ht="30">
      <c r="A57" s="45" t="s">
        <v>214</v>
      </c>
      <c r="B57" s="87">
        <f>B48+B49-B53+B55</f>
        <v>0</v>
      </c>
      <c r="C57" s="87">
        <f>C48+C49-C53+C55</f>
        <v>1187889368.9499993</v>
      </c>
      <c r="D57" s="87">
        <f>D48+D49-D53+D55</f>
        <v>1198578385.75</v>
      </c>
    </row>
    <row r="58" spans="1:4" ht="15">
      <c r="A58" s="53"/>
      <c r="B58" s="54"/>
      <c r="C58" s="54"/>
      <c r="D58" s="54"/>
    </row>
    <row r="59" spans="1:4" ht="15">
      <c r="A59" s="45" t="s">
        <v>215</v>
      </c>
      <c r="B59" s="27">
        <f>B57-B49</f>
        <v>37230989</v>
      </c>
      <c r="C59" s="27">
        <f>C57-C49</f>
        <v>1196703712.2299993</v>
      </c>
      <c r="D59" s="27">
        <f>D57-D49</f>
        <v>1207392729.03</v>
      </c>
    </row>
    <row r="60" spans="1:4" ht="15">
      <c r="A60" s="35"/>
      <c r="B60" s="35"/>
      <c r="C60" s="35"/>
      <c r="D60" s="35"/>
    </row>
    <row r="61" spans="1:4" ht="15">
      <c r="A61" s="39"/>
      <c r="B61" s="39"/>
      <c r="C61" s="39"/>
      <c r="D61" s="39"/>
    </row>
    <row r="62" spans="1:4" ht="30">
      <c r="A62" s="14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6" t="s">
        <v>186</v>
      </c>
      <c r="B63" s="47">
        <f>B10</f>
        <v>11110212505</v>
      </c>
      <c r="C63" s="47">
        <f>C10</f>
        <v>2919220664.51</v>
      </c>
      <c r="D63" s="47">
        <f>D10</f>
        <v>2919220664.51</v>
      </c>
    </row>
    <row r="64" spans="1:4" ht="30">
      <c r="A64" s="48" t="s">
        <v>216</v>
      </c>
      <c r="B64" s="100">
        <f>B65-B66</f>
        <v>0</v>
      </c>
      <c r="C64" s="100">
        <f>C65-C66</f>
        <v>0</v>
      </c>
      <c r="D64" s="100">
        <f>D65-D66</f>
        <v>0</v>
      </c>
    </row>
    <row r="65" spans="1:4" ht="15">
      <c r="A65" s="50" t="s">
        <v>207</v>
      </c>
      <c r="B65" s="103">
        <f>+B39</f>
        <v>0</v>
      </c>
      <c r="C65" s="103">
        <f>+C39</f>
        <v>0</v>
      </c>
      <c r="D65" s="103">
        <f>+D39</f>
        <v>0</v>
      </c>
    </row>
    <row r="66" spans="1:4" ht="15">
      <c r="A66" s="50" t="s">
        <v>210</v>
      </c>
      <c r="B66" s="103">
        <f>+B42</f>
        <v>0</v>
      </c>
      <c r="C66" s="103">
        <f>+C42</f>
        <v>0</v>
      </c>
      <c r="D66" s="103">
        <f>+D42</f>
        <v>0</v>
      </c>
    </row>
    <row r="67" spans="1:4" ht="15">
      <c r="A67" s="34"/>
      <c r="B67" s="93"/>
      <c r="C67" s="93"/>
      <c r="D67" s="93"/>
    </row>
    <row r="68" spans="1:4" ht="15">
      <c r="A68" s="20" t="s">
        <v>217</v>
      </c>
      <c r="B68" s="103">
        <f>B15</f>
        <v>11110212505</v>
      </c>
      <c r="C68" s="103">
        <f>C15</f>
        <v>2951703971.68</v>
      </c>
      <c r="D68" s="103">
        <f>D15</f>
        <v>2619282558.62</v>
      </c>
    </row>
    <row r="69" spans="1:4" ht="15">
      <c r="A69" s="34"/>
      <c r="B69" s="93"/>
      <c r="C69" s="93"/>
      <c r="D69" s="93"/>
    </row>
    <row r="70" spans="1:4" ht="15">
      <c r="A70" s="20" t="s">
        <v>193</v>
      </c>
      <c r="B70" s="104">
        <f>B19</f>
        <v>0</v>
      </c>
      <c r="C70" s="105">
        <f>C19</f>
        <v>25960911.59</v>
      </c>
      <c r="D70" s="105">
        <f>D19</f>
        <v>25960911.59</v>
      </c>
    </row>
    <row r="71" spans="1:4" ht="15">
      <c r="A71" s="34"/>
      <c r="B71" s="93"/>
      <c r="C71" s="93"/>
      <c r="D71" s="93"/>
    </row>
    <row r="72" spans="1:4" ht="30">
      <c r="A72" s="45" t="s">
        <v>218</v>
      </c>
      <c r="B72" s="100">
        <f>B63+B64-B68+B70</f>
        <v>0</v>
      </c>
      <c r="C72" s="100">
        <f>C63+C64-C68+C70</f>
        <v>-6522395.5799996</v>
      </c>
      <c r="D72" s="100">
        <f>D63+D64-D68+D70</f>
        <v>325899017.4800003</v>
      </c>
    </row>
    <row r="73" spans="1:4" ht="15">
      <c r="A73" s="34"/>
      <c r="B73" s="93"/>
      <c r="C73" s="93"/>
      <c r="D73" s="93"/>
    </row>
    <row r="74" spans="1:4" ht="15">
      <c r="A74" s="45" t="s">
        <v>219</v>
      </c>
      <c r="B74" s="100">
        <f>B72-B64</f>
        <v>0</v>
      </c>
      <c r="C74" s="100">
        <f>C72-C64</f>
        <v>-6522395.5799996</v>
      </c>
      <c r="D74" s="100">
        <f>D72-D64</f>
        <v>325899017.4800003</v>
      </c>
    </row>
    <row r="75" spans="1:4" ht="15">
      <c r="A75" s="35"/>
      <c r="B75" s="43"/>
      <c r="C75" s="43"/>
      <c r="D75" s="43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1:D25 B29:D29 B33:D33 B37:D37 B40:D40 B44:D44 B48:D49 B50:D53 B55:D59 B63:D63 B64:D64 B68:D68 C70:D71 D72:D74 C72 B74:C74 B72:B73 B65:D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1">
      <selection activeCell="A5" sqref="A5:G5"/>
    </sheetView>
  </sheetViews>
  <sheetFormatPr defaultColWidth="0" defaultRowHeight="15" zeroHeight="1"/>
  <cols>
    <col min="1" max="1" width="76.7109375" style="0" customWidth="1"/>
    <col min="2" max="7" width="20.7109375" style="0" customWidth="1"/>
    <col min="8" max="16384" width="11.421875" style="0" hidden="1" customWidth="1"/>
  </cols>
  <sheetData>
    <row r="1" spans="1:7" ht="21">
      <c r="A1" s="145" t="s">
        <v>220</v>
      </c>
      <c r="B1" s="145"/>
      <c r="C1" s="145"/>
      <c r="D1" s="145"/>
      <c r="E1" s="145"/>
      <c r="F1" s="145"/>
      <c r="G1" s="145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221</v>
      </c>
      <c r="B3" s="130"/>
      <c r="C3" s="130"/>
      <c r="D3" s="130"/>
      <c r="E3" s="130"/>
      <c r="F3" s="130"/>
      <c r="G3" s="131"/>
    </row>
    <row r="4" spans="1:7" ht="15">
      <c r="A4" s="132" t="s">
        <v>478</v>
      </c>
      <c r="B4" s="133"/>
      <c r="C4" s="133"/>
      <c r="D4" s="133"/>
      <c r="E4" s="133"/>
      <c r="F4" s="133"/>
      <c r="G4" s="134"/>
    </row>
    <row r="5" spans="1:7" ht="15">
      <c r="A5" s="135" t="s">
        <v>2</v>
      </c>
      <c r="B5" s="136"/>
      <c r="C5" s="136"/>
      <c r="D5" s="136"/>
      <c r="E5" s="136"/>
      <c r="F5" s="136"/>
      <c r="G5" s="137"/>
    </row>
    <row r="6" spans="1:7" ht="15">
      <c r="A6" s="142" t="s">
        <v>222</v>
      </c>
      <c r="B6" s="144" t="s">
        <v>223</v>
      </c>
      <c r="C6" s="144"/>
      <c r="D6" s="144"/>
      <c r="E6" s="144"/>
      <c r="F6" s="144"/>
      <c r="G6" s="144" t="s">
        <v>224</v>
      </c>
    </row>
    <row r="7" spans="1:7" ht="30">
      <c r="A7" s="143"/>
      <c r="B7" s="18" t="s">
        <v>225</v>
      </c>
      <c r="C7" s="6" t="s">
        <v>226</v>
      </c>
      <c r="D7" s="18" t="s">
        <v>227</v>
      </c>
      <c r="E7" s="18" t="s">
        <v>182</v>
      </c>
      <c r="F7" s="18" t="s">
        <v>228</v>
      </c>
      <c r="G7" s="144"/>
    </row>
    <row r="8" spans="1:7" ht="15">
      <c r="A8" s="19" t="s">
        <v>229</v>
      </c>
      <c r="B8" s="42"/>
      <c r="C8" s="42"/>
      <c r="D8" s="42"/>
      <c r="E8" s="42"/>
      <c r="F8" s="42"/>
      <c r="G8" s="42"/>
    </row>
    <row r="9" spans="1:7" ht="15">
      <c r="A9" s="116" t="s">
        <v>230</v>
      </c>
      <c r="B9" s="87">
        <v>1398763356</v>
      </c>
      <c r="C9" s="87">
        <v>0</v>
      </c>
      <c r="D9" s="87">
        <f>+B9+C9</f>
        <v>1398763356</v>
      </c>
      <c r="E9" s="87">
        <v>454011355</v>
      </c>
      <c r="F9" s="87">
        <v>454011355</v>
      </c>
      <c r="G9" s="87">
        <f>+F9-B9</f>
        <v>-944752001</v>
      </c>
    </row>
    <row r="10" spans="1:7" ht="15">
      <c r="A10" s="116" t="s">
        <v>231</v>
      </c>
      <c r="B10" s="87">
        <v>0</v>
      </c>
      <c r="C10" s="87">
        <v>0</v>
      </c>
      <c r="D10" s="87">
        <f aca="true" t="shared" si="0" ref="D10:D15">+B10+C10</f>
        <v>0</v>
      </c>
      <c r="E10" s="87">
        <v>0</v>
      </c>
      <c r="F10" s="87">
        <v>0</v>
      </c>
      <c r="G10" s="87">
        <f aca="true" t="shared" si="1" ref="G10:G15">+F10-B10</f>
        <v>0</v>
      </c>
    </row>
    <row r="11" spans="1:7" ht="15">
      <c r="A11" s="116" t="s">
        <v>232</v>
      </c>
      <c r="B11" s="87">
        <v>0</v>
      </c>
      <c r="C11" s="87">
        <v>0</v>
      </c>
      <c r="D11" s="87">
        <f t="shared" si="0"/>
        <v>0</v>
      </c>
      <c r="E11" s="87">
        <v>0</v>
      </c>
      <c r="F11" s="87">
        <v>0</v>
      </c>
      <c r="G11" s="87">
        <f t="shared" si="1"/>
        <v>0</v>
      </c>
    </row>
    <row r="12" spans="1:7" ht="15">
      <c r="A12" s="116" t="s">
        <v>233</v>
      </c>
      <c r="B12" s="87">
        <v>572104451</v>
      </c>
      <c r="C12" s="87">
        <v>0</v>
      </c>
      <c r="D12" s="87">
        <f t="shared" si="0"/>
        <v>572104451</v>
      </c>
      <c r="E12" s="87">
        <v>206172457.54</v>
      </c>
      <c r="F12" s="87">
        <v>206172457.54</v>
      </c>
      <c r="G12" s="87">
        <f t="shared" si="1"/>
        <v>-365931993.46000004</v>
      </c>
    </row>
    <row r="13" spans="1:7" ht="15">
      <c r="A13" s="116" t="s">
        <v>234</v>
      </c>
      <c r="B13" s="87">
        <v>67708620</v>
      </c>
      <c r="C13" s="87">
        <v>0</v>
      </c>
      <c r="D13" s="87">
        <f t="shared" si="0"/>
        <v>67708620</v>
      </c>
      <c r="E13" s="87">
        <v>41113035.4</v>
      </c>
      <c r="F13" s="87">
        <v>41113035.4</v>
      </c>
      <c r="G13" s="87">
        <f t="shared" si="1"/>
        <v>-26595584.6</v>
      </c>
    </row>
    <row r="14" spans="1:7" ht="15">
      <c r="A14" s="116" t="s">
        <v>235</v>
      </c>
      <c r="B14" s="87">
        <v>21173193</v>
      </c>
      <c r="C14" s="87">
        <v>0</v>
      </c>
      <c r="D14" s="87">
        <f t="shared" si="0"/>
        <v>21173193</v>
      </c>
      <c r="E14" s="87">
        <v>18065814.18</v>
      </c>
      <c r="F14" s="87">
        <v>18016710.98</v>
      </c>
      <c r="G14" s="87">
        <f t="shared" si="1"/>
        <v>-3156482.0199999996</v>
      </c>
    </row>
    <row r="15" spans="1:7" ht="15">
      <c r="A15" s="116" t="s">
        <v>236</v>
      </c>
      <c r="B15" s="87">
        <v>0</v>
      </c>
      <c r="C15" s="87">
        <v>0</v>
      </c>
      <c r="D15" s="87">
        <f t="shared" si="0"/>
        <v>0</v>
      </c>
      <c r="E15" s="87">
        <v>0</v>
      </c>
      <c r="F15" s="87">
        <v>0</v>
      </c>
      <c r="G15" s="87">
        <f t="shared" si="1"/>
        <v>0</v>
      </c>
    </row>
    <row r="16" spans="1:7" ht="15">
      <c r="A16" s="117" t="s">
        <v>237</v>
      </c>
      <c r="B16" s="87">
        <f aca="true" t="shared" si="2" ref="B16:G16">SUM(B17:B27)</f>
        <v>8654096392</v>
      </c>
      <c r="C16" s="87">
        <f t="shared" si="2"/>
        <v>413140048</v>
      </c>
      <c r="D16" s="87">
        <f t="shared" si="2"/>
        <v>9067236440</v>
      </c>
      <c r="E16" s="87">
        <f t="shared" si="2"/>
        <v>2404771868</v>
      </c>
      <c r="F16" s="87">
        <f t="shared" si="2"/>
        <v>2404771868</v>
      </c>
      <c r="G16" s="87">
        <f t="shared" si="2"/>
        <v>-6249324524</v>
      </c>
    </row>
    <row r="17" spans="1:7" ht="15">
      <c r="A17" s="21" t="s">
        <v>238</v>
      </c>
      <c r="B17" s="85">
        <v>5433110665</v>
      </c>
      <c r="C17" s="85">
        <v>160712583</v>
      </c>
      <c r="D17" s="124">
        <f>+B17+C17</f>
        <v>5593823248</v>
      </c>
      <c r="E17" s="85">
        <v>1568353430</v>
      </c>
      <c r="F17" s="85">
        <v>1568353430</v>
      </c>
      <c r="G17" s="85">
        <f>+F17-B17</f>
        <v>-3864757235</v>
      </c>
    </row>
    <row r="18" spans="1:7" ht="15">
      <c r="A18" s="21" t="s">
        <v>239</v>
      </c>
      <c r="B18" s="85">
        <v>373863353</v>
      </c>
      <c r="C18" s="85">
        <v>-7227705</v>
      </c>
      <c r="D18" s="124">
        <f aca="true" t="shared" si="3" ref="D18:D27">+B18+C18</f>
        <v>366635648</v>
      </c>
      <c r="E18" s="85">
        <v>92670454</v>
      </c>
      <c r="F18" s="85">
        <v>92670454</v>
      </c>
      <c r="G18" s="85">
        <f aca="true" t="shared" si="4" ref="G18:G33">+F18-B18</f>
        <v>-281192899</v>
      </c>
    </row>
    <row r="19" spans="1:7" ht="15">
      <c r="A19" s="21" t="s">
        <v>240</v>
      </c>
      <c r="B19" s="85">
        <v>243940589</v>
      </c>
      <c r="C19" s="85">
        <v>326550</v>
      </c>
      <c r="D19" s="124">
        <f t="shared" si="3"/>
        <v>244267139</v>
      </c>
      <c r="E19" s="85">
        <v>54261579</v>
      </c>
      <c r="F19" s="85">
        <v>54261579</v>
      </c>
      <c r="G19" s="85">
        <f t="shared" si="4"/>
        <v>-189679010</v>
      </c>
    </row>
    <row r="20" spans="1:7" ht="15">
      <c r="A20" s="21" t="s">
        <v>241</v>
      </c>
      <c r="B20" s="85">
        <v>0</v>
      </c>
      <c r="C20" s="85">
        <v>0</v>
      </c>
      <c r="D20" s="124">
        <f t="shared" si="3"/>
        <v>0</v>
      </c>
      <c r="E20" s="85">
        <v>0</v>
      </c>
      <c r="F20" s="85">
        <v>0</v>
      </c>
      <c r="G20" s="85">
        <f t="shared" si="4"/>
        <v>0</v>
      </c>
    </row>
    <row r="21" spans="1:7" ht="15">
      <c r="A21" s="21" t="s">
        <v>242</v>
      </c>
      <c r="B21" s="85">
        <v>1811315967</v>
      </c>
      <c r="C21" s="85">
        <v>-86</v>
      </c>
      <c r="D21" s="124">
        <f t="shared" si="3"/>
        <v>1811315881</v>
      </c>
      <c r="E21" s="85">
        <v>454597809</v>
      </c>
      <c r="F21" s="85">
        <v>454597809</v>
      </c>
      <c r="G21" s="85">
        <f t="shared" si="4"/>
        <v>-1356718158</v>
      </c>
    </row>
    <row r="22" spans="1:7" ht="15">
      <c r="A22" s="21" t="s">
        <v>243</v>
      </c>
      <c r="B22" s="85">
        <v>65206989</v>
      </c>
      <c r="C22" s="85">
        <v>-580037</v>
      </c>
      <c r="D22" s="124">
        <f t="shared" si="3"/>
        <v>64626952</v>
      </c>
      <c r="E22" s="85">
        <v>14729188</v>
      </c>
      <c r="F22" s="85">
        <v>14729188</v>
      </c>
      <c r="G22" s="85">
        <f t="shared" si="4"/>
        <v>-50477801</v>
      </c>
    </row>
    <row r="23" spans="1:7" ht="15">
      <c r="A23" s="21" t="s">
        <v>244</v>
      </c>
      <c r="B23" s="85">
        <v>0</v>
      </c>
      <c r="C23" s="85">
        <v>0</v>
      </c>
      <c r="D23" s="124">
        <f t="shared" si="3"/>
        <v>0</v>
      </c>
      <c r="E23" s="85">
        <v>0</v>
      </c>
      <c r="F23" s="85">
        <v>0</v>
      </c>
      <c r="G23" s="85">
        <f t="shared" si="4"/>
        <v>0</v>
      </c>
    </row>
    <row r="24" spans="1:7" ht="15">
      <c r="A24" s="21" t="s">
        <v>245</v>
      </c>
      <c r="B24" s="85">
        <v>0</v>
      </c>
      <c r="C24" s="85">
        <v>0</v>
      </c>
      <c r="D24" s="124">
        <f t="shared" si="3"/>
        <v>0</v>
      </c>
      <c r="E24" s="85">
        <v>0</v>
      </c>
      <c r="F24" s="85">
        <v>0</v>
      </c>
      <c r="G24" s="85">
        <f t="shared" si="4"/>
        <v>0</v>
      </c>
    </row>
    <row r="25" spans="1:7" ht="15">
      <c r="A25" s="21" t="s">
        <v>246</v>
      </c>
      <c r="B25" s="85">
        <v>201658829</v>
      </c>
      <c r="C25" s="85">
        <v>-1</v>
      </c>
      <c r="D25" s="124">
        <f t="shared" si="3"/>
        <v>201658828</v>
      </c>
      <c r="E25" s="85">
        <v>38542878</v>
      </c>
      <c r="F25" s="85">
        <v>38542878</v>
      </c>
      <c r="G25" s="85">
        <f t="shared" si="4"/>
        <v>-163115951</v>
      </c>
    </row>
    <row r="26" spans="1:7" ht="15">
      <c r="A26" s="21" t="s">
        <v>247</v>
      </c>
      <c r="B26" s="85">
        <v>525000000</v>
      </c>
      <c r="C26" s="85">
        <v>257894278</v>
      </c>
      <c r="D26" s="124">
        <f t="shared" si="3"/>
        <v>782894278</v>
      </c>
      <c r="E26" s="85">
        <v>179602064</v>
      </c>
      <c r="F26" s="85">
        <v>179602064</v>
      </c>
      <c r="G26" s="85">
        <f t="shared" si="4"/>
        <v>-345397936</v>
      </c>
    </row>
    <row r="27" spans="1:7" ht="15">
      <c r="A27" s="21" t="s">
        <v>248</v>
      </c>
      <c r="B27" s="85">
        <v>0</v>
      </c>
      <c r="C27" s="85">
        <v>2014466</v>
      </c>
      <c r="D27" s="124">
        <f t="shared" si="3"/>
        <v>2014466</v>
      </c>
      <c r="E27" s="85">
        <v>2014466</v>
      </c>
      <c r="F27" s="85">
        <v>2014466</v>
      </c>
      <c r="G27" s="85">
        <f t="shared" si="4"/>
        <v>2014466</v>
      </c>
    </row>
    <row r="28" spans="1:7" ht="15">
      <c r="A28" s="116" t="s">
        <v>249</v>
      </c>
      <c r="B28" s="87">
        <f aca="true" t="shared" si="5" ref="B28:G28">SUM(B29:B33)</f>
        <v>158683350</v>
      </c>
      <c r="C28" s="87">
        <f t="shared" si="5"/>
        <v>6539210</v>
      </c>
      <c r="D28" s="87">
        <f t="shared" si="5"/>
        <v>165222560</v>
      </c>
      <c r="E28" s="87">
        <f t="shared" si="5"/>
        <v>50127525.239999995</v>
      </c>
      <c r="F28" s="87">
        <f t="shared" si="5"/>
        <v>50127525.239999995</v>
      </c>
      <c r="G28" s="87">
        <f t="shared" si="5"/>
        <v>-108555824.76</v>
      </c>
    </row>
    <row r="29" spans="1:7" ht="15">
      <c r="A29" s="21" t="s">
        <v>250</v>
      </c>
      <c r="B29" s="85">
        <v>0</v>
      </c>
      <c r="C29" s="85">
        <v>0</v>
      </c>
      <c r="D29" s="85">
        <f>+B29+C29</f>
        <v>0</v>
      </c>
      <c r="E29" s="85">
        <v>0</v>
      </c>
      <c r="F29" s="85">
        <v>0</v>
      </c>
      <c r="G29" s="85">
        <f t="shared" si="4"/>
        <v>0</v>
      </c>
    </row>
    <row r="30" spans="1:7" ht="15">
      <c r="A30" s="21" t="s">
        <v>251</v>
      </c>
      <c r="B30" s="85">
        <v>13638673</v>
      </c>
      <c r="C30" s="85">
        <v>-1</v>
      </c>
      <c r="D30" s="85">
        <f>+B30+C30</f>
        <v>13638672</v>
      </c>
      <c r="E30" s="85">
        <v>3409668</v>
      </c>
      <c r="F30" s="85">
        <v>3409668</v>
      </c>
      <c r="G30" s="85">
        <f t="shared" si="4"/>
        <v>-10229005</v>
      </c>
    </row>
    <row r="31" spans="1:7" ht="15">
      <c r="A31" s="21" t="s">
        <v>252</v>
      </c>
      <c r="B31" s="85">
        <v>46673766</v>
      </c>
      <c r="C31" s="85">
        <v>6539212</v>
      </c>
      <c r="D31" s="85">
        <f>+B31+C31</f>
        <v>53212978</v>
      </c>
      <c r="E31" s="85">
        <v>13137330</v>
      </c>
      <c r="F31" s="85">
        <v>13137330</v>
      </c>
      <c r="G31" s="85">
        <f t="shared" si="4"/>
        <v>-33536436</v>
      </c>
    </row>
    <row r="32" spans="1:7" ht="15">
      <c r="A32" s="21" t="s">
        <v>253</v>
      </c>
      <c r="B32" s="85">
        <v>14626304</v>
      </c>
      <c r="C32" s="85">
        <v>-1</v>
      </c>
      <c r="D32" s="85">
        <f>+B32+C32</f>
        <v>14626303</v>
      </c>
      <c r="E32" s="85">
        <v>4550887</v>
      </c>
      <c r="F32" s="85">
        <v>4550887</v>
      </c>
      <c r="G32" s="85">
        <f t="shared" si="4"/>
        <v>-10075417</v>
      </c>
    </row>
    <row r="33" spans="1:7" ht="15">
      <c r="A33" s="21" t="s">
        <v>254</v>
      </c>
      <c r="B33" s="85">
        <v>83744607</v>
      </c>
      <c r="C33" s="85">
        <v>0</v>
      </c>
      <c r="D33" s="85">
        <f>+B33+C33</f>
        <v>83744607</v>
      </c>
      <c r="E33" s="85">
        <v>29029640.24</v>
      </c>
      <c r="F33" s="85">
        <v>29029640.24</v>
      </c>
      <c r="G33" s="85">
        <f t="shared" si="4"/>
        <v>-54714966.760000005</v>
      </c>
    </row>
    <row r="34" spans="1:7" ht="15">
      <c r="A34" s="116" t="s">
        <v>255</v>
      </c>
      <c r="B34" s="87">
        <v>0</v>
      </c>
      <c r="C34" s="87">
        <v>0</v>
      </c>
      <c r="D34" s="87">
        <v>0</v>
      </c>
      <c r="E34" s="87">
        <v>0</v>
      </c>
      <c r="F34" s="87">
        <v>0</v>
      </c>
      <c r="G34" s="87">
        <f>F34-B34</f>
        <v>0</v>
      </c>
    </row>
    <row r="35" spans="1:7" ht="15">
      <c r="A35" s="116" t="s">
        <v>256</v>
      </c>
      <c r="B35" s="87">
        <f aca="true" t="shared" si="6" ref="B35:G35">B36</f>
        <v>0</v>
      </c>
      <c r="C35" s="87">
        <f t="shared" si="6"/>
        <v>332658236.96</v>
      </c>
      <c r="D35" s="87">
        <f t="shared" si="6"/>
        <v>332658236.96</v>
      </c>
      <c r="E35" s="87">
        <f t="shared" si="6"/>
        <v>332658236.96</v>
      </c>
      <c r="F35" s="87">
        <f t="shared" si="6"/>
        <v>332658236.96</v>
      </c>
      <c r="G35" s="87">
        <f t="shared" si="6"/>
        <v>332658236.96</v>
      </c>
    </row>
    <row r="36" spans="1:7" ht="15">
      <c r="A36" s="21" t="s">
        <v>257</v>
      </c>
      <c r="B36" s="85">
        <v>0</v>
      </c>
      <c r="C36" s="85">
        <v>332658236.96</v>
      </c>
      <c r="D36" s="85">
        <f>+B36+C36</f>
        <v>332658236.96</v>
      </c>
      <c r="E36" s="85">
        <v>332658236.96</v>
      </c>
      <c r="F36" s="85">
        <v>332658236.96</v>
      </c>
      <c r="G36" s="85">
        <f>+F36-B36</f>
        <v>332658236.96</v>
      </c>
    </row>
    <row r="37" spans="1:7" ht="15">
      <c r="A37" s="116" t="s">
        <v>258</v>
      </c>
      <c r="B37" s="87">
        <f>B38+B39</f>
        <v>0</v>
      </c>
      <c r="C37" s="87">
        <v>0</v>
      </c>
      <c r="D37" s="87">
        <v>0</v>
      </c>
      <c r="E37" s="87">
        <v>0</v>
      </c>
      <c r="F37" s="87">
        <v>0</v>
      </c>
      <c r="G37" s="87">
        <f>G38+G39</f>
        <v>0</v>
      </c>
    </row>
    <row r="38" spans="1:7" ht="15">
      <c r="A38" s="21" t="s">
        <v>259</v>
      </c>
      <c r="B38" s="85">
        <v>0</v>
      </c>
      <c r="C38" s="85">
        <v>0</v>
      </c>
      <c r="D38" s="85">
        <f>+B38+C38</f>
        <v>0</v>
      </c>
      <c r="E38" s="85">
        <v>0</v>
      </c>
      <c r="F38" s="85">
        <v>0</v>
      </c>
      <c r="G38" s="85">
        <f>+F38-B38</f>
        <v>0</v>
      </c>
    </row>
    <row r="39" spans="1:7" ht="15">
      <c r="A39" s="21" t="s">
        <v>260</v>
      </c>
      <c r="B39" s="85">
        <v>0</v>
      </c>
      <c r="C39" s="85">
        <v>0</v>
      </c>
      <c r="D39" s="85">
        <f>+B39+C39</f>
        <v>0</v>
      </c>
      <c r="E39" s="85">
        <v>0</v>
      </c>
      <c r="F39" s="85">
        <v>0</v>
      </c>
      <c r="G39" s="85">
        <f>+F39-B39</f>
        <v>0</v>
      </c>
    </row>
    <row r="40" spans="1:7" ht="15">
      <c r="A40" s="34"/>
      <c r="B40" s="85"/>
      <c r="C40" s="85"/>
      <c r="D40" s="85"/>
      <c r="E40" s="85"/>
      <c r="F40" s="85"/>
      <c r="G40" s="85"/>
    </row>
    <row r="41" spans="1:7" ht="15">
      <c r="A41" s="23" t="s">
        <v>261</v>
      </c>
      <c r="B41" s="87">
        <f aca="true" t="shared" si="7" ref="B41:G41">SUM(B9,B10,B11,B12,B13,B14,B15,B16,B28,B34,B35,B37)</f>
        <v>10872529362</v>
      </c>
      <c r="C41" s="87">
        <f t="shared" si="7"/>
        <v>752337494.96</v>
      </c>
      <c r="D41" s="87">
        <f t="shared" si="7"/>
        <v>11624866856.96</v>
      </c>
      <c r="E41" s="87">
        <f t="shared" si="7"/>
        <v>3506920292.3199997</v>
      </c>
      <c r="F41" s="87">
        <f t="shared" si="7"/>
        <v>3506871189.12</v>
      </c>
      <c r="G41" s="87">
        <f t="shared" si="7"/>
        <v>-7365658172.88</v>
      </c>
    </row>
    <row r="42" spans="1:7" ht="15">
      <c r="A42" s="23" t="s">
        <v>262</v>
      </c>
      <c r="B42" s="99"/>
      <c r="C42" s="99"/>
      <c r="D42" s="99"/>
      <c r="E42" s="99"/>
      <c r="F42" s="99"/>
      <c r="G42" s="94">
        <f>IF(G41&gt;0,G41,0)</f>
        <v>0</v>
      </c>
    </row>
    <row r="43" spans="1:7" ht="15">
      <c r="A43" s="34"/>
      <c r="B43" s="86"/>
      <c r="C43" s="86"/>
      <c r="D43" s="86"/>
      <c r="E43" s="86"/>
      <c r="F43" s="86"/>
      <c r="G43" s="86"/>
    </row>
    <row r="44" spans="1:7" ht="15">
      <c r="A44" s="23" t="s">
        <v>263</v>
      </c>
      <c r="B44" s="86"/>
      <c r="C44" s="86"/>
      <c r="D44" s="86"/>
      <c r="E44" s="86"/>
      <c r="F44" s="86"/>
      <c r="G44" s="86"/>
    </row>
    <row r="45" spans="1:7" ht="15">
      <c r="A45" s="116" t="s">
        <v>264</v>
      </c>
      <c r="B45" s="87">
        <f aca="true" t="shared" si="8" ref="B45:G45">SUM(B46:B53)</f>
        <v>8866648745</v>
      </c>
      <c r="C45" s="87">
        <f t="shared" si="8"/>
        <v>60676162</v>
      </c>
      <c r="D45" s="87">
        <f t="shared" si="8"/>
        <v>8927324907</v>
      </c>
      <c r="E45" s="87">
        <f t="shared" si="8"/>
        <v>2260762384.55</v>
      </c>
      <c r="F45" s="87">
        <f t="shared" si="8"/>
        <v>2260762384.55</v>
      </c>
      <c r="G45" s="87">
        <f t="shared" si="8"/>
        <v>-6605886360.45</v>
      </c>
    </row>
    <row r="46" spans="1:7" ht="15">
      <c r="A46" s="37" t="s">
        <v>265</v>
      </c>
      <c r="B46" s="85">
        <v>4626908122</v>
      </c>
      <c r="C46" s="85">
        <v>0</v>
      </c>
      <c r="D46" s="85">
        <f>+B46+C46</f>
        <v>4626908122</v>
      </c>
      <c r="E46" s="85">
        <v>1136962349.51</v>
      </c>
      <c r="F46" s="85">
        <v>1136962349.51</v>
      </c>
      <c r="G46" s="85">
        <f aca="true" t="shared" si="9" ref="G46:G53">+F46-B46</f>
        <v>-3489945772.49</v>
      </c>
    </row>
    <row r="47" spans="1:7" ht="15">
      <c r="A47" s="37" t="s">
        <v>266</v>
      </c>
      <c r="B47" s="85">
        <v>1703669006</v>
      </c>
      <c r="C47" s="85">
        <v>0</v>
      </c>
      <c r="D47" s="85">
        <f aca="true" t="shared" si="10" ref="D47:D53">+B47+C47</f>
        <v>1703669006</v>
      </c>
      <c r="E47" s="85">
        <v>417454909.04</v>
      </c>
      <c r="F47" s="85">
        <v>417454909.04</v>
      </c>
      <c r="G47" s="85">
        <f t="shared" si="9"/>
        <v>-1286214096.96</v>
      </c>
    </row>
    <row r="48" spans="1:7" ht="15">
      <c r="A48" s="37" t="s">
        <v>267</v>
      </c>
      <c r="B48" s="85">
        <v>934727788</v>
      </c>
      <c r="C48" s="85">
        <v>-10854606</v>
      </c>
      <c r="D48" s="85">
        <f t="shared" si="10"/>
        <v>923873182</v>
      </c>
      <c r="E48" s="85">
        <v>277161954</v>
      </c>
      <c r="F48" s="85">
        <v>277161954</v>
      </c>
      <c r="G48" s="85">
        <f t="shared" si="9"/>
        <v>-657565834</v>
      </c>
    </row>
    <row r="49" spans="1:7" ht="30">
      <c r="A49" s="37" t="s">
        <v>268</v>
      </c>
      <c r="B49" s="85">
        <v>652812688</v>
      </c>
      <c r="C49" s="85">
        <v>1521143</v>
      </c>
      <c r="D49" s="85">
        <f t="shared" si="10"/>
        <v>654333831</v>
      </c>
      <c r="E49" s="85">
        <v>163583457</v>
      </c>
      <c r="F49" s="85">
        <v>163583457</v>
      </c>
      <c r="G49" s="85">
        <f t="shared" si="9"/>
        <v>-489229231</v>
      </c>
    </row>
    <row r="50" spans="1:7" ht="15">
      <c r="A50" s="37" t="s">
        <v>269</v>
      </c>
      <c r="B50" s="85">
        <v>400376301</v>
      </c>
      <c r="C50" s="85">
        <v>61275651</v>
      </c>
      <c r="D50" s="85">
        <f t="shared" si="10"/>
        <v>461651952</v>
      </c>
      <c r="E50" s="85">
        <v>115722801</v>
      </c>
      <c r="F50" s="85">
        <v>115722801</v>
      </c>
      <c r="G50" s="85">
        <f t="shared" si="9"/>
        <v>-284653500</v>
      </c>
    </row>
    <row r="51" spans="1:7" ht="15">
      <c r="A51" s="37" t="s">
        <v>270</v>
      </c>
      <c r="B51" s="85">
        <v>110939582</v>
      </c>
      <c r="C51" s="85">
        <v>0</v>
      </c>
      <c r="D51" s="85">
        <f t="shared" si="10"/>
        <v>110939582</v>
      </c>
      <c r="E51" s="85">
        <v>29367208</v>
      </c>
      <c r="F51" s="85">
        <v>29367208</v>
      </c>
      <c r="G51" s="85">
        <f t="shared" si="9"/>
        <v>-81572374</v>
      </c>
    </row>
    <row r="52" spans="1:7" ht="29.25" customHeight="1">
      <c r="A52" s="38" t="s">
        <v>271</v>
      </c>
      <c r="B52" s="85">
        <v>171658496</v>
      </c>
      <c r="C52" s="85">
        <v>11115736</v>
      </c>
      <c r="D52" s="85">
        <f t="shared" si="10"/>
        <v>182774232</v>
      </c>
      <c r="E52" s="85">
        <v>54715956</v>
      </c>
      <c r="F52" s="85">
        <v>54715956</v>
      </c>
      <c r="G52" s="85">
        <f t="shared" si="9"/>
        <v>-116942540</v>
      </c>
    </row>
    <row r="53" spans="1:7" ht="27.75" customHeight="1">
      <c r="A53" s="37" t="s">
        <v>272</v>
      </c>
      <c r="B53" s="85">
        <v>265556762</v>
      </c>
      <c r="C53" s="85">
        <v>-2381762</v>
      </c>
      <c r="D53" s="85">
        <f t="shared" si="10"/>
        <v>263175000</v>
      </c>
      <c r="E53" s="85">
        <v>65793750</v>
      </c>
      <c r="F53" s="85">
        <v>65793750</v>
      </c>
      <c r="G53" s="85">
        <f t="shared" si="9"/>
        <v>-199763012</v>
      </c>
    </row>
    <row r="54" spans="1:7" ht="15">
      <c r="A54" s="116" t="s">
        <v>273</v>
      </c>
      <c r="B54" s="87">
        <f aca="true" t="shared" si="11" ref="B54:G54">SUM(B55:B58)</f>
        <v>1769046318</v>
      </c>
      <c r="C54" s="87">
        <f t="shared" si="11"/>
        <v>261732482.92</v>
      </c>
      <c r="D54" s="87">
        <f t="shared" si="11"/>
        <v>2030778800.92</v>
      </c>
      <c r="E54" s="87">
        <f t="shared" si="11"/>
        <v>559868704.96</v>
      </c>
      <c r="F54" s="87">
        <f t="shared" si="11"/>
        <v>559868704.96</v>
      </c>
      <c r="G54" s="87">
        <f t="shared" si="11"/>
        <v>-1209177613.04</v>
      </c>
    </row>
    <row r="55" spans="1:7" ht="15">
      <c r="A55" s="38" t="s">
        <v>274</v>
      </c>
      <c r="B55" s="85">
        <v>335000000</v>
      </c>
      <c r="C55" s="85">
        <v>0</v>
      </c>
      <c r="D55" s="85">
        <f>+B55+C55</f>
        <v>335000000</v>
      </c>
      <c r="E55" s="85">
        <v>0</v>
      </c>
      <c r="F55" s="85">
        <v>0</v>
      </c>
      <c r="G55" s="85">
        <f>+F55-B55</f>
        <v>-335000000</v>
      </c>
    </row>
    <row r="56" spans="1:7" ht="15">
      <c r="A56" s="37" t="s">
        <v>275</v>
      </c>
      <c r="B56" s="85">
        <v>1434046318</v>
      </c>
      <c r="C56" s="85">
        <v>261732482.92</v>
      </c>
      <c r="D56" s="85">
        <f>+B56+C56</f>
        <v>1695778800.92</v>
      </c>
      <c r="E56" s="85">
        <v>559868704.96</v>
      </c>
      <c r="F56" s="85">
        <v>559868704.96</v>
      </c>
      <c r="G56" s="85">
        <f>+F56-B56</f>
        <v>-874177613.04</v>
      </c>
    </row>
    <row r="57" spans="1:7" ht="15">
      <c r="A57" s="37" t="s">
        <v>276</v>
      </c>
      <c r="B57" s="85">
        <v>0</v>
      </c>
      <c r="C57" s="85">
        <v>0</v>
      </c>
      <c r="D57" s="85">
        <f>+B57+C57</f>
        <v>0</v>
      </c>
      <c r="E57" s="85">
        <v>0</v>
      </c>
      <c r="F57" s="85">
        <v>0</v>
      </c>
      <c r="G57" s="85">
        <f>+F57-B57</f>
        <v>0</v>
      </c>
    </row>
    <row r="58" spans="1:7" ht="15">
      <c r="A58" s="38" t="s">
        <v>277</v>
      </c>
      <c r="B58" s="85">
        <v>0</v>
      </c>
      <c r="C58" s="85">
        <v>0</v>
      </c>
      <c r="D58" s="85">
        <f>+B58+C58</f>
        <v>0</v>
      </c>
      <c r="E58" s="85">
        <v>0</v>
      </c>
      <c r="F58" s="85">
        <v>0</v>
      </c>
      <c r="G58" s="85">
        <f>+F58-B58</f>
        <v>0</v>
      </c>
    </row>
    <row r="59" spans="1:7" ht="15">
      <c r="A59" s="116" t="s">
        <v>278</v>
      </c>
      <c r="B59" s="87">
        <f aca="true" t="shared" si="12" ref="B59:G59">SUM(B60:B61)</f>
        <v>474517442</v>
      </c>
      <c r="C59" s="87">
        <f t="shared" si="12"/>
        <v>0</v>
      </c>
      <c r="D59" s="87">
        <f t="shared" si="12"/>
        <v>474517442</v>
      </c>
      <c r="E59" s="87">
        <f t="shared" si="12"/>
        <v>98589575</v>
      </c>
      <c r="F59" s="87">
        <f t="shared" si="12"/>
        <v>98589575</v>
      </c>
      <c r="G59" s="87">
        <f t="shared" si="12"/>
        <v>-375927867</v>
      </c>
    </row>
    <row r="60" spans="1:7" ht="30">
      <c r="A60" s="37" t="s">
        <v>279</v>
      </c>
      <c r="B60" s="85">
        <v>474517442</v>
      </c>
      <c r="C60" s="85">
        <v>0</v>
      </c>
      <c r="D60" s="85">
        <f>+B60+C60</f>
        <v>474517442</v>
      </c>
      <c r="E60" s="85">
        <v>98589575</v>
      </c>
      <c r="F60" s="85">
        <v>98589575</v>
      </c>
      <c r="G60" s="85">
        <f>+F60-B60</f>
        <v>-375927867</v>
      </c>
    </row>
    <row r="61" spans="1:7" ht="15">
      <c r="A61" s="37" t="s">
        <v>280</v>
      </c>
      <c r="B61" s="85">
        <v>0</v>
      </c>
      <c r="C61" s="85">
        <v>0</v>
      </c>
      <c r="D61" s="85">
        <f>+B61+C61</f>
        <v>0</v>
      </c>
      <c r="E61" s="85">
        <v>0</v>
      </c>
      <c r="F61" s="85">
        <v>0</v>
      </c>
      <c r="G61" s="85">
        <f>+B61-F61</f>
        <v>0</v>
      </c>
    </row>
    <row r="62" spans="1:7" ht="15">
      <c r="A62" s="116" t="s">
        <v>281</v>
      </c>
      <c r="B62" s="87">
        <v>0</v>
      </c>
      <c r="C62" s="87">
        <v>0</v>
      </c>
      <c r="D62" s="87">
        <f>+B62+C62</f>
        <v>0</v>
      </c>
      <c r="E62" s="87">
        <v>0</v>
      </c>
      <c r="F62" s="87">
        <v>0</v>
      </c>
      <c r="G62" s="87">
        <f>F62-B62</f>
        <v>0</v>
      </c>
    </row>
    <row r="63" spans="1:7" ht="15">
      <c r="A63" s="116" t="s">
        <v>282</v>
      </c>
      <c r="B63" s="87">
        <v>0</v>
      </c>
      <c r="C63" s="87">
        <v>0</v>
      </c>
      <c r="D63" s="87">
        <f>+B63+C63</f>
        <v>0</v>
      </c>
      <c r="E63" s="87">
        <v>0</v>
      </c>
      <c r="F63" s="87">
        <v>0</v>
      </c>
      <c r="G63" s="87">
        <f>F63-B63</f>
        <v>0</v>
      </c>
    </row>
    <row r="64" spans="1:7" ht="15">
      <c r="A64" s="34"/>
      <c r="B64" s="86"/>
      <c r="C64" s="86"/>
      <c r="D64" s="86"/>
      <c r="E64" s="86"/>
      <c r="F64" s="86"/>
      <c r="G64" s="86"/>
    </row>
    <row r="65" spans="1:7" ht="15">
      <c r="A65" s="23" t="s">
        <v>283</v>
      </c>
      <c r="B65" s="87">
        <f aca="true" t="shared" si="13" ref="B65:G65">B45+B54+B59+B62+B63</f>
        <v>11110212505</v>
      </c>
      <c r="C65" s="87">
        <f t="shared" si="13"/>
        <v>322408644.91999996</v>
      </c>
      <c r="D65" s="87">
        <f t="shared" si="13"/>
        <v>11432621149.92</v>
      </c>
      <c r="E65" s="87">
        <f t="shared" si="13"/>
        <v>2919220664.51</v>
      </c>
      <c r="F65" s="87">
        <f t="shared" si="13"/>
        <v>2919220664.51</v>
      </c>
      <c r="G65" s="87">
        <f t="shared" si="13"/>
        <v>-8190991840.49</v>
      </c>
    </row>
    <row r="66" spans="1:7" ht="15">
      <c r="A66" s="34"/>
      <c r="B66" s="86"/>
      <c r="C66" s="86"/>
      <c r="D66" s="86"/>
      <c r="E66" s="86"/>
      <c r="F66" s="86"/>
      <c r="G66" s="86"/>
    </row>
    <row r="67" spans="1:7" ht="15">
      <c r="A67" s="23" t="s">
        <v>284</v>
      </c>
      <c r="B67" s="87">
        <f aca="true" t="shared" si="14" ref="B67:G67">B68</f>
        <v>0</v>
      </c>
      <c r="C67" s="87">
        <f t="shared" si="14"/>
        <v>0</v>
      </c>
      <c r="D67" s="87">
        <f t="shared" si="14"/>
        <v>0</v>
      </c>
      <c r="E67" s="87">
        <f t="shared" si="14"/>
        <v>0</v>
      </c>
      <c r="F67" s="87">
        <f t="shared" si="14"/>
        <v>0</v>
      </c>
      <c r="G67" s="87">
        <f t="shared" si="14"/>
        <v>0</v>
      </c>
    </row>
    <row r="68" spans="1:7" ht="15">
      <c r="A68" s="20" t="s">
        <v>285</v>
      </c>
      <c r="B68" s="85">
        <v>0</v>
      </c>
      <c r="C68" s="85">
        <v>0</v>
      </c>
      <c r="D68" s="85">
        <f>+B68+C68</f>
        <v>0</v>
      </c>
      <c r="E68" s="85">
        <v>0</v>
      </c>
      <c r="F68" s="85">
        <v>0</v>
      </c>
      <c r="G68" s="85">
        <f>+F68-B68</f>
        <v>0</v>
      </c>
    </row>
    <row r="69" spans="1:7" ht="15">
      <c r="A69" s="34"/>
      <c r="B69" s="86"/>
      <c r="C69" s="86"/>
      <c r="D69" s="86"/>
      <c r="E69" s="86"/>
      <c r="F69" s="86"/>
      <c r="G69" s="86"/>
    </row>
    <row r="70" spans="1:7" ht="15">
      <c r="A70" s="23" t="s">
        <v>286</v>
      </c>
      <c r="B70" s="87">
        <f aca="true" t="shared" si="15" ref="B70:G70">B41+B65+B67</f>
        <v>21982741867</v>
      </c>
      <c r="C70" s="87">
        <f t="shared" si="15"/>
        <v>1074746139.88</v>
      </c>
      <c r="D70" s="87">
        <f t="shared" si="15"/>
        <v>23057488006.879997</v>
      </c>
      <c r="E70" s="87">
        <f t="shared" si="15"/>
        <v>6426140956.83</v>
      </c>
      <c r="F70" s="87">
        <f t="shared" si="15"/>
        <v>6426091853.63</v>
      </c>
      <c r="G70" s="87">
        <f t="shared" si="15"/>
        <v>-15556650013.369999</v>
      </c>
    </row>
    <row r="71" spans="1:7" ht="15">
      <c r="A71" s="34"/>
      <c r="B71" s="86"/>
      <c r="C71" s="86"/>
      <c r="D71" s="86"/>
      <c r="E71" s="86"/>
      <c r="F71" s="86"/>
      <c r="G71" s="86"/>
    </row>
    <row r="72" spans="1:7" ht="15">
      <c r="A72" s="23" t="s">
        <v>287</v>
      </c>
      <c r="B72" s="86"/>
      <c r="C72" s="86"/>
      <c r="D72" s="86"/>
      <c r="E72" s="86"/>
      <c r="F72" s="86"/>
      <c r="G72" s="86"/>
    </row>
    <row r="73" spans="1:7" ht="30">
      <c r="A73" s="44" t="s">
        <v>288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f>F73-B73</f>
        <v>0</v>
      </c>
    </row>
    <row r="74" spans="1:7" ht="30">
      <c r="A74" s="44" t="s">
        <v>289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f>F74-B74</f>
        <v>0</v>
      </c>
    </row>
    <row r="75" spans="1:7" ht="15">
      <c r="A75" s="45" t="s">
        <v>290</v>
      </c>
      <c r="B75" s="87">
        <f aca="true" t="shared" si="16" ref="B75:G75">B73+B74</f>
        <v>0</v>
      </c>
      <c r="C75" s="87">
        <f t="shared" si="16"/>
        <v>0</v>
      </c>
      <c r="D75" s="87">
        <f t="shared" si="16"/>
        <v>0</v>
      </c>
      <c r="E75" s="87">
        <f t="shared" si="16"/>
        <v>0</v>
      </c>
      <c r="F75" s="87">
        <f t="shared" si="16"/>
        <v>0</v>
      </c>
      <c r="G75" s="87">
        <f t="shared" si="16"/>
        <v>0</v>
      </c>
    </row>
    <row r="76" spans="1:7" ht="15">
      <c r="A76" s="35"/>
      <c r="B76" s="43"/>
      <c r="C76" s="43"/>
      <c r="D76" s="43"/>
      <c r="E76" s="43"/>
      <c r="F76" s="43"/>
      <c r="G76" s="43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16:C16 B35 B37 B41:F41 B45:G45 B54:C54 B65:G65 B67:F67 B70:G70 B75:G75 G67:G68 G73:G74 G62:G63 G16:G27 G29:G33 G35:G36 G38:G39 G41:G42 G46:G53 G55:G58 G60:G61 C35:F35 G9:G15 D9:D15 E16:F16 D29:D33 D36 D38:D39 D46:D53 D55:D58 E54:F54 D60:D61 D62:D63 D68" unlockedFormula="1"/>
    <ignoredError sqref="G54 G40 G37 G34 G28 G59 D16 D54 B59:C59 B28 C28 E28:F28 E59:F59 D28 D59" formula="1" unlockedFormula="1"/>
    <ignoredError sqref="B59:C59 B28 C28 E28:F28 E59:F59" formulaRange="1" unlockedFormula="1"/>
    <ignoredError sqref="D28 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zoomScalePageLayoutView="0" workbookViewId="0" topLeftCell="B139">
      <selection activeCell="G160" sqref="G160"/>
    </sheetView>
  </sheetViews>
  <sheetFormatPr defaultColWidth="0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11.421875" style="0" hidden="1" customWidth="1"/>
  </cols>
  <sheetData>
    <row r="1" spans="1:7" ht="21">
      <c r="A1" s="148" t="s">
        <v>292</v>
      </c>
      <c r="B1" s="145"/>
      <c r="C1" s="145"/>
      <c r="D1" s="145"/>
      <c r="E1" s="145"/>
      <c r="F1" s="145"/>
      <c r="G1" s="145"/>
    </row>
    <row r="2" spans="1:7" ht="15">
      <c r="A2" s="149" t="s">
        <v>291</v>
      </c>
      <c r="B2" s="149"/>
      <c r="C2" s="149"/>
      <c r="D2" s="149"/>
      <c r="E2" s="149"/>
      <c r="F2" s="149"/>
      <c r="G2" s="149"/>
    </row>
    <row r="3" spans="1:7" ht="15">
      <c r="A3" s="150" t="s">
        <v>293</v>
      </c>
      <c r="B3" s="150"/>
      <c r="C3" s="150"/>
      <c r="D3" s="150"/>
      <c r="E3" s="150"/>
      <c r="F3" s="150"/>
      <c r="G3" s="150"/>
    </row>
    <row r="4" spans="1:7" ht="15">
      <c r="A4" s="150" t="s">
        <v>294</v>
      </c>
      <c r="B4" s="150"/>
      <c r="C4" s="150"/>
      <c r="D4" s="150"/>
      <c r="E4" s="150"/>
      <c r="F4" s="150"/>
      <c r="G4" s="150"/>
    </row>
    <row r="5" spans="1:7" ht="15">
      <c r="A5" s="132" t="s">
        <v>483</v>
      </c>
      <c r="B5" s="133"/>
      <c r="C5" s="133"/>
      <c r="D5" s="133"/>
      <c r="E5" s="133"/>
      <c r="F5" s="133"/>
      <c r="G5" s="134"/>
    </row>
    <row r="6" spans="1:7" ht="15">
      <c r="A6" s="143" t="s">
        <v>2</v>
      </c>
      <c r="B6" s="143"/>
      <c r="C6" s="143"/>
      <c r="D6" s="143"/>
      <c r="E6" s="143"/>
      <c r="F6" s="143"/>
      <c r="G6" s="143"/>
    </row>
    <row r="7" spans="1:7" ht="15">
      <c r="A7" s="146" t="s">
        <v>4</v>
      </c>
      <c r="B7" s="146" t="s">
        <v>295</v>
      </c>
      <c r="C7" s="146"/>
      <c r="D7" s="146"/>
      <c r="E7" s="146"/>
      <c r="F7" s="146"/>
      <c r="G7" s="147" t="s">
        <v>296</v>
      </c>
    </row>
    <row r="8" spans="1:7" ht="30">
      <c r="A8" s="146"/>
      <c r="B8" s="6" t="s">
        <v>297</v>
      </c>
      <c r="C8" s="6" t="s">
        <v>298</v>
      </c>
      <c r="D8" s="6" t="s">
        <v>299</v>
      </c>
      <c r="E8" s="6" t="s">
        <v>182</v>
      </c>
      <c r="F8" s="6" t="s">
        <v>300</v>
      </c>
      <c r="G8" s="146"/>
    </row>
    <row r="9" spans="1:7" ht="15">
      <c r="A9" s="19" t="s">
        <v>301</v>
      </c>
      <c r="B9" s="87">
        <f aca="true" t="shared" si="0" ref="B9:G9">SUM(B10,B18,B28,B38,B48,B58,B62,B71,B75)</f>
        <v>10872529362</v>
      </c>
      <c r="C9" s="87">
        <f t="shared" si="0"/>
        <v>1034122316.22</v>
      </c>
      <c r="D9" s="87">
        <f t="shared" si="0"/>
        <v>11906651678.22</v>
      </c>
      <c r="E9" s="87">
        <f t="shared" si="0"/>
        <v>2495333230.5499997</v>
      </c>
      <c r="F9" s="87">
        <f t="shared" si="0"/>
        <v>2483960666.7699995</v>
      </c>
      <c r="G9" s="87">
        <f t="shared" si="0"/>
        <v>9411318447.67</v>
      </c>
    </row>
    <row r="10" spans="1:7" ht="15">
      <c r="A10" s="20" t="s">
        <v>302</v>
      </c>
      <c r="B10" s="85">
        <f aca="true" t="shared" si="1" ref="B10:G10">SUM(B11:B17)</f>
        <v>2374977405</v>
      </c>
      <c r="C10" s="85">
        <f t="shared" si="1"/>
        <v>3078442.8000000007</v>
      </c>
      <c r="D10" s="85">
        <f t="shared" si="1"/>
        <v>2378055847.8</v>
      </c>
      <c r="E10" s="85">
        <f t="shared" si="1"/>
        <v>470053852.03</v>
      </c>
      <c r="F10" s="85">
        <f t="shared" si="1"/>
        <v>470053852.03</v>
      </c>
      <c r="G10" s="85">
        <f t="shared" si="1"/>
        <v>1908001995.77</v>
      </c>
    </row>
    <row r="11" spans="1:7" ht="15">
      <c r="A11" s="21" t="s">
        <v>303</v>
      </c>
      <c r="B11" s="85">
        <v>1186391058</v>
      </c>
      <c r="C11" s="85">
        <v>-5321459.8</v>
      </c>
      <c r="D11" s="85">
        <v>1181069598.2</v>
      </c>
      <c r="E11" s="85">
        <v>284648424.99</v>
      </c>
      <c r="F11" s="85">
        <v>284648424.99</v>
      </c>
      <c r="G11" s="85">
        <f aca="true" t="shared" si="2" ref="G11:G17">D11-E11</f>
        <v>896421173.21</v>
      </c>
    </row>
    <row r="12" spans="1:7" ht="15">
      <c r="A12" s="21" t="s">
        <v>304</v>
      </c>
      <c r="B12" s="85">
        <v>67457007</v>
      </c>
      <c r="C12" s="85">
        <v>1740681.41</v>
      </c>
      <c r="D12" s="85">
        <v>69197688.41</v>
      </c>
      <c r="E12" s="85">
        <v>12934870.58</v>
      </c>
      <c r="F12" s="85">
        <v>12934870.58</v>
      </c>
      <c r="G12" s="85">
        <f t="shared" si="2"/>
        <v>56262817.83</v>
      </c>
    </row>
    <row r="13" spans="1:7" ht="15">
      <c r="A13" s="21" t="s">
        <v>305</v>
      </c>
      <c r="B13" s="85">
        <v>567681396</v>
      </c>
      <c r="C13" s="85">
        <v>-589298.65</v>
      </c>
      <c r="D13" s="85">
        <v>567092097.35</v>
      </c>
      <c r="E13" s="85">
        <v>60177959.87</v>
      </c>
      <c r="F13" s="85">
        <v>60177959.87</v>
      </c>
      <c r="G13" s="85">
        <f t="shared" si="2"/>
        <v>506914137.48</v>
      </c>
    </row>
    <row r="14" spans="1:7" ht="15">
      <c r="A14" s="21" t="s">
        <v>306</v>
      </c>
      <c r="B14" s="85">
        <v>536117025</v>
      </c>
      <c r="C14" s="85">
        <v>-173052.99</v>
      </c>
      <c r="D14" s="85">
        <v>535943972.01</v>
      </c>
      <c r="E14" s="85">
        <v>104871023.76</v>
      </c>
      <c r="F14" s="85">
        <v>104871023.76</v>
      </c>
      <c r="G14" s="85">
        <f t="shared" si="2"/>
        <v>431072948.25</v>
      </c>
    </row>
    <row r="15" spans="1:7" ht="15">
      <c r="A15" s="21" t="s">
        <v>307</v>
      </c>
      <c r="B15" s="85">
        <v>2154510</v>
      </c>
      <c r="C15" s="85">
        <v>7421572.83</v>
      </c>
      <c r="D15" s="85">
        <v>9576082.83</v>
      </c>
      <c r="E15" s="85">
        <v>7421572.83</v>
      </c>
      <c r="F15" s="85">
        <v>7421572.83</v>
      </c>
      <c r="G15" s="85">
        <f t="shared" si="2"/>
        <v>2154510</v>
      </c>
    </row>
    <row r="16" spans="1:7" ht="15">
      <c r="A16" s="21" t="s">
        <v>308</v>
      </c>
      <c r="B16" s="85">
        <v>15176409</v>
      </c>
      <c r="C16" s="85">
        <v>0</v>
      </c>
      <c r="D16" s="85">
        <v>15176409</v>
      </c>
      <c r="E16" s="85">
        <v>0</v>
      </c>
      <c r="F16" s="85">
        <v>0</v>
      </c>
      <c r="G16" s="85">
        <f t="shared" si="2"/>
        <v>15176409</v>
      </c>
    </row>
    <row r="17" spans="1:7" ht="15">
      <c r="A17" s="21" t="s">
        <v>309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f t="shared" si="2"/>
        <v>0</v>
      </c>
    </row>
    <row r="18" spans="1:7" ht="15">
      <c r="A18" s="20" t="s">
        <v>310</v>
      </c>
      <c r="B18" s="85">
        <f aca="true" t="shared" si="3" ref="B18:G18">SUM(B19:B27)</f>
        <v>405303614</v>
      </c>
      <c r="C18" s="85">
        <f t="shared" si="3"/>
        <v>17258363.509999998</v>
      </c>
      <c r="D18" s="85">
        <f t="shared" si="3"/>
        <v>422561977.51</v>
      </c>
      <c r="E18" s="85">
        <f t="shared" si="3"/>
        <v>77602613.74</v>
      </c>
      <c r="F18" s="85">
        <f t="shared" si="3"/>
        <v>77081477.82999998</v>
      </c>
      <c r="G18" s="85">
        <f t="shared" si="3"/>
        <v>344959363.77</v>
      </c>
    </row>
    <row r="19" spans="1:7" ht="15">
      <c r="A19" s="21" t="s">
        <v>311</v>
      </c>
      <c r="B19" s="85">
        <v>107581025</v>
      </c>
      <c r="C19" s="85">
        <v>16743382.81</v>
      </c>
      <c r="D19" s="85">
        <v>124324407.81</v>
      </c>
      <c r="E19" s="85">
        <v>21708650.77</v>
      </c>
      <c r="F19" s="85">
        <v>21703152.79</v>
      </c>
      <c r="G19" s="85">
        <f>D19-E19</f>
        <v>102615757.04</v>
      </c>
    </row>
    <row r="20" spans="1:7" ht="15">
      <c r="A20" s="21" t="s">
        <v>312</v>
      </c>
      <c r="B20" s="85">
        <v>55073306</v>
      </c>
      <c r="C20" s="85">
        <v>732017.37</v>
      </c>
      <c r="D20" s="85">
        <v>55805323.37</v>
      </c>
      <c r="E20" s="85">
        <v>11655745.89</v>
      </c>
      <c r="F20" s="85">
        <v>11646647.04</v>
      </c>
      <c r="G20" s="85">
        <f aca="true" t="shared" si="4" ref="G20:G27">D20-E20</f>
        <v>44149577.48</v>
      </c>
    </row>
    <row r="21" spans="1:7" ht="15">
      <c r="A21" s="21" t="s">
        <v>313</v>
      </c>
      <c r="B21" s="85">
        <v>6400</v>
      </c>
      <c r="C21" s="85">
        <v>-3100</v>
      </c>
      <c r="D21" s="85">
        <v>3300</v>
      </c>
      <c r="E21" s="85">
        <v>0</v>
      </c>
      <c r="F21" s="85">
        <v>0</v>
      </c>
      <c r="G21" s="85">
        <f t="shared" si="4"/>
        <v>3300</v>
      </c>
    </row>
    <row r="22" spans="1:7" ht="15">
      <c r="A22" s="21" t="s">
        <v>314</v>
      </c>
      <c r="B22" s="85">
        <v>5392727</v>
      </c>
      <c r="C22" s="85">
        <v>244269.27</v>
      </c>
      <c r="D22" s="85">
        <v>5636996.27</v>
      </c>
      <c r="E22" s="85">
        <v>993446.44</v>
      </c>
      <c r="F22" s="85">
        <v>993446.44</v>
      </c>
      <c r="G22" s="85">
        <f t="shared" si="4"/>
        <v>4643549.83</v>
      </c>
    </row>
    <row r="23" spans="1:7" ht="15">
      <c r="A23" s="21" t="s">
        <v>315</v>
      </c>
      <c r="B23" s="85">
        <v>64831382</v>
      </c>
      <c r="C23" s="85">
        <v>-2773715.81</v>
      </c>
      <c r="D23" s="85">
        <v>62057666.19</v>
      </c>
      <c r="E23" s="85">
        <v>13855620.41</v>
      </c>
      <c r="F23" s="85">
        <v>13855620.41</v>
      </c>
      <c r="G23" s="85">
        <f t="shared" si="4"/>
        <v>48202045.78</v>
      </c>
    </row>
    <row r="24" spans="1:7" ht="15">
      <c r="A24" s="21" t="s">
        <v>316</v>
      </c>
      <c r="B24" s="85">
        <v>149562236</v>
      </c>
      <c r="C24" s="85">
        <v>-1991485.83</v>
      </c>
      <c r="D24" s="85">
        <v>147570750.17</v>
      </c>
      <c r="E24" s="85">
        <v>24149505.63</v>
      </c>
      <c r="F24" s="85">
        <v>23649549.55</v>
      </c>
      <c r="G24" s="85">
        <f t="shared" si="4"/>
        <v>123421244.53999999</v>
      </c>
    </row>
    <row r="25" spans="1:7" ht="15">
      <c r="A25" s="21" t="s">
        <v>317</v>
      </c>
      <c r="B25" s="85">
        <v>5290848</v>
      </c>
      <c r="C25" s="85">
        <v>1181727</v>
      </c>
      <c r="D25" s="85">
        <v>6472575</v>
      </c>
      <c r="E25" s="85">
        <v>1577514.47</v>
      </c>
      <c r="F25" s="85">
        <v>1570931.47</v>
      </c>
      <c r="G25" s="85">
        <f t="shared" si="4"/>
        <v>4895060.53</v>
      </c>
    </row>
    <row r="26" spans="1:7" ht="15">
      <c r="A26" s="21" t="s">
        <v>318</v>
      </c>
      <c r="B26" s="85">
        <v>337690</v>
      </c>
      <c r="C26" s="85">
        <v>212600</v>
      </c>
      <c r="D26" s="85">
        <v>550290</v>
      </c>
      <c r="E26" s="85">
        <v>0</v>
      </c>
      <c r="F26" s="85">
        <v>0</v>
      </c>
      <c r="G26" s="85">
        <f t="shared" si="4"/>
        <v>550290</v>
      </c>
    </row>
    <row r="27" spans="1:7" ht="15">
      <c r="A27" s="21" t="s">
        <v>319</v>
      </c>
      <c r="B27" s="85">
        <v>17228000</v>
      </c>
      <c r="C27" s="85">
        <v>2912668.7</v>
      </c>
      <c r="D27" s="85">
        <v>20140668.7</v>
      </c>
      <c r="E27" s="85">
        <v>3662130.13</v>
      </c>
      <c r="F27" s="85">
        <v>3662130.13</v>
      </c>
      <c r="G27" s="85">
        <f t="shared" si="4"/>
        <v>16478538.57</v>
      </c>
    </row>
    <row r="28" spans="1:7" ht="15">
      <c r="A28" s="20" t="s">
        <v>320</v>
      </c>
      <c r="B28" s="85">
        <f aca="true" t="shared" si="5" ref="B28:G28">SUM(B29:B37)</f>
        <v>1091370283</v>
      </c>
      <c r="C28" s="85">
        <f t="shared" si="5"/>
        <v>-28553663.83</v>
      </c>
      <c r="D28" s="85">
        <f t="shared" si="5"/>
        <v>1062816619.1699998</v>
      </c>
      <c r="E28" s="85">
        <f t="shared" si="5"/>
        <v>183102776.89000002</v>
      </c>
      <c r="F28" s="85">
        <f t="shared" si="5"/>
        <v>176049880.63</v>
      </c>
      <c r="G28" s="85">
        <f t="shared" si="5"/>
        <v>879713842.28</v>
      </c>
    </row>
    <row r="29" spans="1:7" ht="15">
      <c r="A29" s="21" t="s">
        <v>321</v>
      </c>
      <c r="B29" s="85">
        <v>79987280</v>
      </c>
      <c r="C29" s="85">
        <v>-6342386.28</v>
      </c>
      <c r="D29" s="85">
        <v>73644893.72</v>
      </c>
      <c r="E29" s="85">
        <v>12048646.07</v>
      </c>
      <c r="F29" s="85">
        <v>12047516.07</v>
      </c>
      <c r="G29" s="85">
        <f>D29-E29</f>
        <v>61596247.65</v>
      </c>
    </row>
    <row r="30" spans="1:7" ht="15">
      <c r="A30" s="21" t="s">
        <v>322</v>
      </c>
      <c r="B30" s="85">
        <v>159821898</v>
      </c>
      <c r="C30" s="85">
        <v>-62706.36</v>
      </c>
      <c r="D30" s="85">
        <v>159759191.64</v>
      </c>
      <c r="E30" s="85">
        <v>27614583.98</v>
      </c>
      <c r="F30" s="85">
        <v>27551308.18</v>
      </c>
      <c r="G30" s="85">
        <f aca="true" t="shared" si="6" ref="G30:G37">D30-E30</f>
        <v>132144607.65999998</v>
      </c>
    </row>
    <row r="31" spans="1:7" ht="15">
      <c r="A31" s="21" t="s">
        <v>323</v>
      </c>
      <c r="B31" s="85">
        <v>166330968</v>
      </c>
      <c r="C31" s="85">
        <v>21332125.57</v>
      </c>
      <c r="D31" s="85">
        <v>187663093.57</v>
      </c>
      <c r="E31" s="85">
        <v>36020790.78</v>
      </c>
      <c r="F31" s="85">
        <v>36019746.78</v>
      </c>
      <c r="G31" s="85">
        <f t="shared" si="6"/>
        <v>151642302.79</v>
      </c>
    </row>
    <row r="32" spans="1:7" ht="15">
      <c r="A32" s="21" t="s">
        <v>324</v>
      </c>
      <c r="B32" s="85">
        <v>46341434</v>
      </c>
      <c r="C32" s="85">
        <v>-13502897.02</v>
      </c>
      <c r="D32" s="85">
        <v>32838536.98</v>
      </c>
      <c r="E32" s="85">
        <v>4445466.98</v>
      </c>
      <c r="F32" s="85">
        <v>4397177.5</v>
      </c>
      <c r="G32" s="85">
        <f t="shared" si="6"/>
        <v>28393070</v>
      </c>
    </row>
    <row r="33" spans="1:7" ht="15">
      <c r="A33" s="21" t="s">
        <v>325</v>
      </c>
      <c r="B33" s="85">
        <v>112361891</v>
      </c>
      <c r="C33" s="85">
        <v>-6715183.44</v>
      </c>
      <c r="D33" s="85">
        <v>105646707.56</v>
      </c>
      <c r="E33" s="85">
        <v>13994758.47</v>
      </c>
      <c r="F33" s="85">
        <v>13180879.48</v>
      </c>
      <c r="G33" s="85">
        <f t="shared" si="6"/>
        <v>91651949.09</v>
      </c>
    </row>
    <row r="34" spans="1:7" ht="15">
      <c r="A34" s="21" t="s">
        <v>326</v>
      </c>
      <c r="B34" s="85">
        <v>233396015</v>
      </c>
      <c r="C34" s="85">
        <v>9318557.82</v>
      </c>
      <c r="D34" s="85">
        <v>242714572.82</v>
      </c>
      <c r="E34" s="85">
        <v>55871530.74</v>
      </c>
      <c r="F34" s="85">
        <v>55871530.74</v>
      </c>
      <c r="G34" s="85">
        <f t="shared" si="6"/>
        <v>186843042.07999998</v>
      </c>
    </row>
    <row r="35" spans="1:7" ht="15">
      <c r="A35" s="21" t="s">
        <v>327</v>
      </c>
      <c r="B35" s="85">
        <v>33394589</v>
      </c>
      <c r="C35" s="85">
        <v>-548701.44</v>
      </c>
      <c r="D35" s="85">
        <v>32845887.56</v>
      </c>
      <c r="E35" s="85">
        <v>3754907.18</v>
      </c>
      <c r="F35" s="85">
        <v>3733797.68</v>
      </c>
      <c r="G35" s="85">
        <f t="shared" si="6"/>
        <v>29090980.38</v>
      </c>
    </row>
    <row r="36" spans="1:7" ht="15">
      <c r="A36" s="21" t="s">
        <v>328</v>
      </c>
      <c r="B36" s="85">
        <v>121919837</v>
      </c>
      <c r="C36" s="85">
        <v>-5840631.43</v>
      </c>
      <c r="D36" s="85">
        <v>116079205.57</v>
      </c>
      <c r="E36" s="85">
        <v>11133136.17</v>
      </c>
      <c r="F36" s="85">
        <v>9307969.85</v>
      </c>
      <c r="G36" s="85">
        <f t="shared" si="6"/>
        <v>104946069.39999999</v>
      </c>
    </row>
    <row r="37" spans="1:7" ht="15">
      <c r="A37" s="21" t="s">
        <v>329</v>
      </c>
      <c r="B37" s="85">
        <v>137816371</v>
      </c>
      <c r="C37" s="85">
        <v>-26191841.25</v>
      </c>
      <c r="D37" s="85">
        <v>111624529.75</v>
      </c>
      <c r="E37" s="85">
        <v>18218956.52</v>
      </c>
      <c r="F37" s="85">
        <v>13939954.35</v>
      </c>
      <c r="G37" s="85">
        <f t="shared" si="6"/>
        <v>93405573.23</v>
      </c>
    </row>
    <row r="38" spans="1:7" ht="15">
      <c r="A38" s="20" t="s">
        <v>330</v>
      </c>
      <c r="B38" s="85">
        <f aca="true" t="shared" si="7" ref="B38:G38">SUM(B39:B47)</f>
        <v>3671801018</v>
      </c>
      <c r="C38" s="85">
        <f t="shared" si="7"/>
        <v>135191767.75</v>
      </c>
      <c r="D38" s="85">
        <f t="shared" si="7"/>
        <v>3806992785.75</v>
      </c>
      <c r="E38" s="85">
        <f t="shared" si="7"/>
        <v>872038537.8000001</v>
      </c>
      <c r="F38" s="85">
        <f t="shared" si="7"/>
        <v>868240006.19</v>
      </c>
      <c r="G38" s="85">
        <f t="shared" si="7"/>
        <v>2934954247.95</v>
      </c>
    </row>
    <row r="39" spans="1:7" ht="15">
      <c r="A39" s="21" t="s">
        <v>331</v>
      </c>
      <c r="B39" s="85">
        <v>848795606</v>
      </c>
      <c r="C39" s="85">
        <v>11433929.23</v>
      </c>
      <c r="D39" s="85">
        <v>860229535.23</v>
      </c>
      <c r="E39" s="85">
        <v>207853556.96</v>
      </c>
      <c r="F39" s="85">
        <v>207853556.96</v>
      </c>
      <c r="G39" s="85">
        <f>D39-E39</f>
        <v>652375978.27</v>
      </c>
    </row>
    <row r="40" spans="1:7" ht="15">
      <c r="A40" s="21" t="s">
        <v>332</v>
      </c>
      <c r="B40" s="85">
        <v>2308377618</v>
      </c>
      <c r="C40" s="85">
        <v>81113877.85</v>
      </c>
      <c r="D40" s="85">
        <v>2389491495.85</v>
      </c>
      <c r="E40" s="85">
        <v>575666596.97</v>
      </c>
      <c r="F40" s="85">
        <v>574368065.36</v>
      </c>
      <c r="G40" s="85">
        <f aca="true" t="shared" si="8" ref="G40:G47">D40-E40</f>
        <v>1813824898.8799999</v>
      </c>
    </row>
    <row r="41" spans="1:7" ht="15">
      <c r="A41" s="21" t="s">
        <v>333</v>
      </c>
      <c r="B41" s="85">
        <v>0</v>
      </c>
      <c r="C41" s="85">
        <v>1611924</v>
      </c>
      <c r="D41" s="85">
        <v>1611924</v>
      </c>
      <c r="E41" s="85">
        <v>1611876</v>
      </c>
      <c r="F41" s="85">
        <v>1611876</v>
      </c>
      <c r="G41" s="85">
        <f t="shared" si="8"/>
        <v>48</v>
      </c>
    </row>
    <row r="42" spans="1:7" ht="15">
      <c r="A42" s="21" t="s">
        <v>334</v>
      </c>
      <c r="B42" s="85">
        <v>440991798</v>
      </c>
      <c r="C42" s="85">
        <v>18632036.67</v>
      </c>
      <c r="D42" s="85">
        <v>459623834.67</v>
      </c>
      <c r="E42" s="85">
        <v>81371340.87</v>
      </c>
      <c r="F42" s="85">
        <v>78871340.87</v>
      </c>
      <c r="G42" s="85">
        <f t="shared" si="8"/>
        <v>378252493.8</v>
      </c>
    </row>
    <row r="43" spans="1:7" ht="15">
      <c r="A43" s="21" t="s">
        <v>335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f t="shared" si="8"/>
        <v>0</v>
      </c>
    </row>
    <row r="44" spans="1:7" ht="15">
      <c r="A44" s="21" t="s">
        <v>336</v>
      </c>
      <c r="B44" s="85">
        <v>67296000</v>
      </c>
      <c r="C44" s="85">
        <v>22400000</v>
      </c>
      <c r="D44" s="85">
        <v>89696000</v>
      </c>
      <c r="E44" s="85">
        <v>5535167</v>
      </c>
      <c r="F44" s="85">
        <v>5535167</v>
      </c>
      <c r="G44" s="85">
        <f t="shared" si="8"/>
        <v>84160833</v>
      </c>
    </row>
    <row r="45" spans="1:7" ht="15">
      <c r="A45" s="21" t="s">
        <v>337</v>
      </c>
      <c r="B45" s="85">
        <v>6339996</v>
      </c>
      <c r="C45" s="85">
        <v>0</v>
      </c>
      <c r="D45" s="85">
        <v>6339996</v>
      </c>
      <c r="E45" s="85">
        <v>0</v>
      </c>
      <c r="F45" s="85">
        <v>0</v>
      </c>
      <c r="G45" s="85">
        <f t="shared" si="8"/>
        <v>6339996</v>
      </c>
    </row>
    <row r="46" spans="1:7" ht="15">
      <c r="A46" s="21" t="s">
        <v>338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f t="shared" si="8"/>
        <v>0</v>
      </c>
    </row>
    <row r="47" spans="1:7" ht="15">
      <c r="A47" s="21" t="s">
        <v>339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f t="shared" si="8"/>
        <v>0</v>
      </c>
    </row>
    <row r="48" spans="1:7" ht="15">
      <c r="A48" s="20" t="s">
        <v>340</v>
      </c>
      <c r="B48" s="85">
        <f aca="true" t="shared" si="9" ref="B48:G48">SUM(B49:B57)</f>
        <v>4342369</v>
      </c>
      <c r="C48" s="85">
        <f t="shared" si="9"/>
        <v>25764677.960000005</v>
      </c>
      <c r="D48" s="85">
        <f t="shared" si="9"/>
        <v>30107046.960000005</v>
      </c>
      <c r="E48" s="85">
        <f t="shared" si="9"/>
        <v>15386012.66</v>
      </c>
      <c r="F48" s="85">
        <f t="shared" si="9"/>
        <v>15386012.66</v>
      </c>
      <c r="G48" s="85">
        <f t="shared" si="9"/>
        <v>14721034.3</v>
      </c>
    </row>
    <row r="49" spans="1:7" ht="15">
      <c r="A49" s="21" t="s">
        <v>341</v>
      </c>
      <c r="B49" s="85">
        <v>2057869</v>
      </c>
      <c r="C49" s="85">
        <v>4432626.94</v>
      </c>
      <c r="D49" s="85">
        <v>6490495.94</v>
      </c>
      <c r="E49" s="85">
        <v>204617.36</v>
      </c>
      <c r="F49" s="85">
        <v>204617.36</v>
      </c>
      <c r="G49" s="85">
        <f>D49-E49</f>
        <v>6285878.58</v>
      </c>
    </row>
    <row r="50" spans="1:7" ht="15">
      <c r="A50" s="21" t="s">
        <v>342</v>
      </c>
      <c r="B50" s="85">
        <v>24000</v>
      </c>
      <c r="C50" s="85">
        <v>63000</v>
      </c>
      <c r="D50" s="85">
        <v>87000</v>
      </c>
      <c r="E50" s="85">
        <v>0</v>
      </c>
      <c r="F50" s="85">
        <v>0</v>
      </c>
      <c r="G50" s="85">
        <f aca="true" t="shared" si="10" ref="G50:G57">D50-E50</f>
        <v>87000</v>
      </c>
    </row>
    <row r="51" spans="1:7" ht="15">
      <c r="A51" s="21" t="s">
        <v>343</v>
      </c>
      <c r="B51" s="85">
        <v>250000</v>
      </c>
      <c r="C51" s="85">
        <v>-250000</v>
      </c>
      <c r="D51" s="85">
        <v>0</v>
      </c>
      <c r="E51" s="85">
        <v>0</v>
      </c>
      <c r="F51" s="85">
        <v>0</v>
      </c>
      <c r="G51" s="85">
        <f t="shared" si="10"/>
        <v>0</v>
      </c>
    </row>
    <row r="52" spans="1:7" ht="15">
      <c r="A52" s="21" t="s">
        <v>344</v>
      </c>
      <c r="B52" s="85">
        <v>600000</v>
      </c>
      <c r="C52" s="85">
        <v>20276755.3</v>
      </c>
      <c r="D52" s="85">
        <v>20876755.3</v>
      </c>
      <c r="E52" s="85">
        <v>15181395.3</v>
      </c>
      <c r="F52" s="85">
        <v>15181395.3</v>
      </c>
      <c r="G52" s="85">
        <f t="shared" si="10"/>
        <v>5695360</v>
      </c>
    </row>
    <row r="53" spans="1:7" ht="15">
      <c r="A53" s="21" t="s">
        <v>345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f t="shared" si="10"/>
        <v>0</v>
      </c>
    </row>
    <row r="54" spans="1:7" ht="15">
      <c r="A54" s="21" t="s">
        <v>346</v>
      </c>
      <c r="B54" s="85">
        <v>1410500</v>
      </c>
      <c r="C54" s="85">
        <v>-471397.08</v>
      </c>
      <c r="D54" s="85">
        <v>939102.92</v>
      </c>
      <c r="E54" s="85">
        <v>0</v>
      </c>
      <c r="F54" s="85">
        <v>0</v>
      </c>
      <c r="G54" s="85">
        <f t="shared" si="10"/>
        <v>939102.92</v>
      </c>
    </row>
    <row r="55" spans="1:7" ht="15">
      <c r="A55" s="21" t="s">
        <v>347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f t="shared" si="10"/>
        <v>0</v>
      </c>
    </row>
    <row r="56" spans="1:7" ht="15">
      <c r="A56" s="21" t="s">
        <v>348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f t="shared" si="10"/>
        <v>0</v>
      </c>
    </row>
    <row r="57" spans="1:7" ht="15">
      <c r="A57" s="21" t="s">
        <v>349</v>
      </c>
      <c r="B57" s="85">
        <v>0</v>
      </c>
      <c r="C57" s="85">
        <v>1713692.8</v>
      </c>
      <c r="D57" s="85">
        <v>1713692.8</v>
      </c>
      <c r="E57" s="85">
        <v>0</v>
      </c>
      <c r="F57" s="85">
        <v>0</v>
      </c>
      <c r="G57" s="85">
        <f t="shared" si="10"/>
        <v>1713692.8</v>
      </c>
    </row>
    <row r="58" spans="1:7" ht="15">
      <c r="A58" s="20" t="s">
        <v>350</v>
      </c>
      <c r="B58" s="85">
        <f aca="true" t="shared" si="11" ref="B58:G58">SUM(B59:B61)</f>
        <v>43237766</v>
      </c>
      <c r="C58" s="85">
        <f t="shared" si="11"/>
        <v>833928364.13</v>
      </c>
      <c r="D58" s="85">
        <f t="shared" si="11"/>
        <v>877166130.13</v>
      </c>
      <c r="E58" s="85">
        <f t="shared" si="11"/>
        <v>97317971.85</v>
      </c>
      <c r="F58" s="85">
        <f t="shared" si="11"/>
        <v>97317971.85</v>
      </c>
      <c r="G58" s="85">
        <f t="shared" si="11"/>
        <v>779848158.28</v>
      </c>
    </row>
    <row r="59" spans="1:7" ht="15">
      <c r="A59" s="21" t="s">
        <v>351</v>
      </c>
      <c r="B59" s="85">
        <v>42624092</v>
      </c>
      <c r="C59" s="85">
        <v>830714952.13</v>
      </c>
      <c r="D59" s="85">
        <v>873339044.13</v>
      </c>
      <c r="E59" s="85">
        <v>97317971.85</v>
      </c>
      <c r="F59" s="85">
        <v>97317971.85</v>
      </c>
      <c r="G59" s="85">
        <f>D59-E59</f>
        <v>776021072.28</v>
      </c>
    </row>
    <row r="60" spans="1:7" ht="15">
      <c r="A60" s="21" t="s">
        <v>352</v>
      </c>
      <c r="B60" s="85">
        <v>613674</v>
      </c>
      <c r="C60" s="85">
        <v>3213412</v>
      </c>
      <c r="D60" s="85">
        <v>3827086</v>
      </c>
      <c r="E60" s="85">
        <v>0</v>
      </c>
      <c r="F60" s="85">
        <v>0</v>
      </c>
      <c r="G60" s="85">
        <f>D60-E60</f>
        <v>3827086</v>
      </c>
    </row>
    <row r="61" spans="1:7" ht="15">
      <c r="A61" s="21" t="s">
        <v>353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f>D61-E61</f>
        <v>0</v>
      </c>
    </row>
    <row r="62" spans="1:7" ht="15">
      <c r="A62" s="20" t="s">
        <v>354</v>
      </c>
      <c r="B62" s="85">
        <f aca="true" t="shared" si="12" ref="B62:G62">SUM(B63:B67,B69:B70)</f>
        <v>13014839</v>
      </c>
      <c r="C62" s="85">
        <f t="shared" si="12"/>
        <v>11839435.85</v>
      </c>
      <c r="D62" s="85">
        <f t="shared" si="12"/>
        <v>24854274.85</v>
      </c>
      <c r="E62" s="85">
        <f t="shared" si="12"/>
        <v>13014839</v>
      </c>
      <c r="F62" s="85">
        <f t="shared" si="12"/>
        <v>13014839</v>
      </c>
      <c r="G62" s="85">
        <f t="shared" si="12"/>
        <v>11839435.85</v>
      </c>
    </row>
    <row r="63" spans="1:7" ht="15">
      <c r="A63" s="21" t="s">
        <v>355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>D63-E63</f>
        <v>0</v>
      </c>
    </row>
    <row r="64" spans="1:7" ht="15">
      <c r="A64" s="21" t="s">
        <v>356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f aca="true" t="shared" si="13" ref="G64:G70">D64-E64</f>
        <v>0</v>
      </c>
    </row>
    <row r="65" spans="1:7" ht="15">
      <c r="A65" s="21" t="s">
        <v>357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f t="shared" si="13"/>
        <v>0</v>
      </c>
    </row>
    <row r="66" spans="1:7" ht="15">
      <c r="A66" s="21" t="s">
        <v>358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f t="shared" si="13"/>
        <v>0</v>
      </c>
    </row>
    <row r="67" spans="1:7" ht="15">
      <c r="A67" s="21" t="s">
        <v>359</v>
      </c>
      <c r="B67" s="85">
        <v>0</v>
      </c>
      <c r="C67" s="85">
        <v>13014839</v>
      </c>
      <c r="D67" s="85">
        <v>13014839</v>
      </c>
      <c r="E67" s="85">
        <v>13014839</v>
      </c>
      <c r="F67" s="85">
        <v>13014839</v>
      </c>
      <c r="G67" s="85">
        <f t="shared" si="13"/>
        <v>0</v>
      </c>
    </row>
    <row r="68" spans="1:7" ht="15">
      <c r="A68" s="21" t="s">
        <v>360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f t="shared" si="13"/>
        <v>0</v>
      </c>
    </row>
    <row r="69" spans="1:7" ht="15">
      <c r="A69" s="21" t="s">
        <v>361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f t="shared" si="13"/>
        <v>0</v>
      </c>
    </row>
    <row r="70" spans="1:7" ht="15">
      <c r="A70" s="21" t="s">
        <v>362</v>
      </c>
      <c r="B70" s="85">
        <v>13014839</v>
      </c>
      <c r="C70" s="85">
        <v>-1175403.15</v>
      </c>
      <c r="D70" s="85">
        <v>11839435.85</v>
      </c>
      <c r="E70" s="85">
        <v>0</v>
      </c>
      <c r="F70" s="85">
        <v>0</v>
      </c>
      <c r="G70" s="85">
        <f t="shared" si="13"/>
        <v>11839435.85</v>
      </c>
    </row>
    <row r="71" spans="1:7" ht="15">
      <c r="A71" s="20" t="s">
        <v>363</v>
      </c>
      <c r="B71" s="85">
        <f aca="true" t="shared" si="14" ref="B71:G71">SUM(B72:B74)</f>
        <v>2915545008</v>
      </c>
      <c r="C71" s="85">
        <f t="shared" si="14"/>
        <v>44353055.72</v>
      </c>
      <c r="D71" s="85">
        <f t="shared" si="14"/>
        <v>2959898063.7200003</v>
      </c>
      <c r="E71" s="85">
        <f t="shared" si="14"/>
        <v>700791167.88</v>
      </c>
      <c r="F71" s="85">
        <f t="shared" si="14"/>
        <v>700791167.88</v>
      </c>
      <c r="G71" s="85">
        <f t="shared" si="14"/>
        <v>2259106895.84</v>
      </c>
    </row>
    <row r="72" spans="1:7" ht="15">
      <c r="A72" s="21" t="s">
        <v>364</v>
      </c>
      <c r="B72" s="85">
        <v>2544441920</v>
      </c>
      <c r="C72" s="85">
        <v>32326031.55</v>
      </c>
      <c r="D72" s="85">
        <v>2576767951.55</v>
      </c>
      <c r="E72" s="85">
        <v>645261580.95</v>
      </c>
      <c r="F72" s="85">
        <v>645261580.95</v>
      </c>
      <c r="G72" s="85">
        <f>D72-E72</f>
        <v>1931506370.6000001</v>
      </c>
    </row>
    <row r="73" spans="1:7" ht="15">
      <c r="A73" s="21" t="s">
        <v>365</v>
      </c>
      <c r="B73" s="85">
        <v>72665314</v>
      </c>
      <c r="C73" s="85">
        <v>16049307</v>
      </c>
      <c r="D73" s="85">
        <v>88714621</v>
      </c>
      <c r="E73" s="85">
        <v>18861248</v>
      </c>
      <c r="F73" s="85">
        <v>18861248</v>
      </c>
      <c r="G73" s="85">
        <f>D73-E73</f>
        <v>69853373</v>
      </c>
    </row>
    <row r="74" spans="1:7" ht="15">
      <c r="A74" s="21" t="s">
        <v>366</v>
      </c>
      <c r="B74" s="85">
        <v>298437774</v>
      </c>
      <c r="C74" s="85">
        <v>-4022282.83</v>
      </c>
      <c r="D74" s="85">
        <v>294415491.17</v>
      </c>
      <c r="E74" s="85">
        <v>36668338.93</v>
      </c>
      <c r="F74" s="85">
        <v>36668338.93</v>
      </c>
      <c r="G74" s="85">
        <f>D74-E74</f>
        <v>257747152.24</v>
      </c>
    </row>
    <row r="75" spans="1:7" ht="15">
      <c r="A75" s="20" t="s">
        <v>367</v>
      </c>
      <c r="B75" s="85">
        <f aca="true" t="shared" si="15" ref="B75:G75">SUM(B76:B82)</f>
        <v>352937060</v>
      </c>
      <c r="C75" s="85">
        <f t="shared" si="15"/>
        <v>-8738127.67</v>
      </c>
      <c r="D75" s="85">
        <f t="shared" si="15"/>
        <v>344198932.33</v>
      </c>
      <c r="E75" s="85">
        <f t="shared" si="15"/>
        <v>66025458.7</v>
      </c>
      <c r="F75" s="85">
        <f t="shared" si="15"/>
        <v>66025458.7</v>
      </c>
      <c r="G75" s="85">
        <f t="shared" si="15"/>
        <v>278173473.63</v>
      </c>
    </row>
    <row r="76" spans="1:7" ht="15">
      <c r="A76" s="21" t="s">
        <v>368</v>
      </c>
      <c r="B76" s="85">
        <v>37230989</v>
      </c>
      <c r="C76" s="85">
        <v>0</v>
      </c>
      <c r="D76" s="85">
        <v>37230989</v>
      </c>
      <c r="E76" s="85">
        <v>8814343.28</v>
      </c>
      <c r="F76" s="85">
        <v>8814343.28</v>
      </c>
      <c r="G76" s="85">
        <f>D76-E76</f>
        <v>28416645.72</v>
      </c>
    </row>
    <row r="77" spans="1:7" ht="15">
      <c r="A77" s="21" t="s">
        <v>369</v>
      </c>
      <c r="B77" s="85">
        <v>269176179</v>
      </c>
      <c r="C77" s="85">
        <v>0</v>
      </c>
      <c r="D77" s="85">
        <v>269176179</v>
      </c>
      <c r="E77" s="85">
        <v>57211115.42</v>
      </c>
      <c r="F77" s="85">
        <v>57211115.42</v>
      </c>
      <c r="G77" s="85">
        <f aca="true" t="shared" si="16" ref="G77:G82">D77-E77</f>
        <v>211965063.57999998</v>
      </c>
    </row>
    <row r="78" spans="1:7" ht="15">
      <c r="A78" s="21" t="s">
        <v>370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f t="shared" si="16"/>
        <v>0</v>
      </c>
    </row>
    <row r="79" spans="1:7" ht="15">
      <c r="A79" s="21" t="s">
        <v>371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f t="shared" si="16"/>
        <v>0</v>
      </c>
    </row>
    <row r="80" spans="1:7" ht="15">
      <c r="A80" s="21" t="s">
        <v>372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f t="shared" si="16"/>
        <v>0</v>
      </c>
    </row>
    <row r="81" spans="1:7" ht="15">
      <c r="A81" s="21" t="s">
        <v>373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f t="shared" si="16"/>
        <v>0</v>
      </c>
    </row>
    <row r="82" spans="1:7" ht="15">
      <c r="A82" s="21" t="s">
        <v>374</v>
      </c>
      <c r="B82" s="85">
        <v>46529892</v>
      </c>
      <c r="C82" s="85">
        <v>-8738127.67</v>
      </c>
      <c r="D82" s="85">
        <v>37791764.33</v>
      </c>
      <c r="E82" s="85">
        <v>0</v>
      </c>
      <c r="F82" s="85">
        <v>0</v>
      </c>
      <c r="G82" s="85">
        <f t="shared" si="16"/>
        <v>37791764.33</v>
      </c>
    </row>
    <row r="83" spans="1:7" ht="15">
      <c r="A83" s="22"/>
      <c r="B83" s="86"/>
      <c r="C83" s="86"/>
      <c r="D83" s="86"/>
      <c r="E83" s="86"/>
      <c r="F83" s="86"/>
      <c r="G83" s="86"/>
    </row>
    <row r="84" spans="1:7" ht="15">
      <c r="A84" s="23" t="s">
        <v>375</v>
      </c>
      <c r="B84" s="87">
        <f aca="true" t="shared" si="17" ref="B84:G84">SUM(B85,B93,B103,B113,B123,B133,B137,B146,B150)</f>
        <v>11110212505</v>
      </c>
      <c r="C84" s="87">
        <f t="shared" si="17"/>
        <v>665890470.03</v>
      </c>
      <c r="D84" s="87">
        <f t="shared" si="17"/>
        <v>11776102975.029999</v>
      </c>
      <c r="E84" s="87">
        <f t="shared" si="17"/>
        <v>2951703971.6800003</v>
      </c>
      <c r="F84" s="87">
        <f t="shared" si="17"/>
        <v>2619282558.6200004</v>
      </c>
      <c r="G84" s="87">
        <f t="shared" si="17"/>
        <v>8824399003.35</v>
      </c>
    </row>
    <row r="85" spans="1:7" ht="15">
      <c r="A85" s="20" t="s">
        <v>302</v>
      </c>
      <c r="B85" s="85">
        <f aca="true" t="shared" si="18" ref="B85:G85">SUM(B86:B92)</f>
        <v>4516943588</v>
      </c>
      <c r="C85" s="85">
        <f t="shared" si="18"/>
        <v>0</v>
      </c>
      <c r="D85" s="85">
        <f t="shared" si="18"/>
        <v>4516943588</v>
      </c>
      <c r="E85" s="85">
        <f t="shared" si="18"/>
        <v>1107950721.51</v>
      </c>
      <c r="F85" s="85">
        <f t="shared" si="18"/>
        <v>1107950721.51</v>
      </c>
      <c r="G85" s="85">
        <f t="shared" si="18"/>
        <v>3408992866.49</v>
      </c>
    </row>
    <row r="86" spans="1:7" ht="15">
      <c r="A86" s="21" t="s">
        <v>303</v>
      </c>
      <c r="B86" s="85">
        <v>2606847432</v>
      </c>
      <c r="C86" s="85">
        <v>114238997</v>
      </c>
      <c r="D86" s="85">
        <v>2721086429</v>
      </c>
      <c r="E86" s="85">
        <v>673237860.57</v>
      </c>
      <c r="F86" s="85">
        <v>673237860.57</v>
      </c>
      <c r="G86" s="85">
        <f>D86-E86</f>
        <v>2047848568.4299998</v>
      </c>
    </row>
    <row r="87" spans="1:7" ht="15">
      <c r="A87" s="21" t="s">
        <v>304</v>
      </c>
      <c r="B87" s="85">
        <v>9249545</v>
      </c>
      <c r="C87" s="85">
        <v>-690739</v>
      </c>
      <c r="D87" s="85">
        <v>8558806</v>
      </c>
      <c r="E87" s="85">
        <v>1266076.31</v>
      </c>
      <c r="F87" s="85">
        <v>1266076.31</v>
      </c>
      <c r="G87" s="85">
        <f aca="true" t="shared" si="19" ref="G87:G92">D87-E87</f>
        <v>7292729.6899999995</v>
      </c>
    </row>
    <row r="88" spans="1:7" ht="15">
      <c r="A88" s="21" t="s">
        <v>305</v>
      </c>
      <c r="B88" s="85">
        <v>927571514</v>
      </c>
      <c r="C88" s="85">
        <v>-56968586.95</v>
      </c>
      <c r="D88" s="85">
        <v>870602927.05</v>
      </c>
      <c r="E88" s="85">
        <v>249603386.22</v>
      </c>
      <c r="F88" s="85">
        <v>249603386.22</v>
      </c>
      <c r="G88" s="85">
        <f t="shared" si="19"/>
        <v>620999540.8299999</v>
      </c>
    </row>
    <row r="89" spans="1:7" ht="15">
      <c r="A89" s="21" t="s">
        <v>306</v>
      </c>
      <c r="B89" s="85">
        <v>428923112</v>
      </c>
      <c r="C89" s="85">
        <v>-35331463.3</v>
      </c>
      <c r="D89" s="85">
        <v>393591648.7</v>
      </c>
      <c r="E89" s="85">
        <v>65001482.03</v>
      </c>
      <c r="F89" s="85">
        <v>65001482.03</v>
      </c>
      <c r="G89" s="85">
        <f t="shared" si="19"/>
        <v>328590166.66999996</v>
      </c>
    </row>
    <row r="90" spans="1:7" ht="15">
      <c r="A90" s="21" t="s">
        <v>307</v>
      </c>
      <c r="B90" s="85">
        <v>53103315</v>
      </c>
      <c r="C90" s="85">
        <v>21005505</v>
      </c>
      <c r="D90" s="85">
        <v>74108820</v>
      </c>
      <c r="E90" s="85">
        <v>36531857.96</v>
      </c>
      <c r="F90" s="85">
        <v>36531857.96</v>
      </c>
      <c r="G90" s="85">
        <f t="shared" si="19"/>
        <v>37576962.04</v>
      </c>
    </row>
    <row r="91" spans="1:7" ht="15">
      <c r="A91" s="21" t="s">
        <v>308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f t="shared" si="19"/>
        <v>0</v>
      </c>
    </row>
    <row r="92" spans="1:7" ht="15">
      <c r="A92" s="21" t="s">
        <v>309</v>
      </c>
      <c r="B92" s="85">
        <v>491248670</v>
      </c>
      <c r="C92" s="85">
        <v>-42253712.75</v>
      </c>
      <c r="D92" s="85">
        <v>448994957.25</v>
      </c>
      <c r="E92" s="85">
        <v>82310058.42</v>
      </c>
      <c r="F92" s="85">
        <v>82310058.42</v>
      </c>
      <c r="G92" s="85">
        <f t="shared" si="19"/>
        <v>366684898.83</v>
      </c>
    </row>
    <row r="93" spans="1:7" ht="15">
      <c r="A93" s="20" t="s">
        <v>310</v>
      </c>
      <c r="B93" s="85">
        <f aca="true" t="shared" si="20" ref="B93:G93">SUM(B94:B102)</f>
        <v>56959968</v>
      </c>
      <c r="C93" s="85">
        <f t="shared" si="20"/>
        <v>17879559.439999998</v>
      </c>
      <c r="D93" s="85">
        <f t="shared" si="20"/>
        <v>74839527.44</v>
      </c>
      <c r="E93" s="85">
        <f t="shared" si="20"/>
        <v>4760451.15</v>
      </c>
      <c r="F93" s="85">
        <f t="shared" si="20"/>
        <v>4760451.15</v>
      </c>
      <c r="G93" s="85">
        <f t="shared" si="20"/>
        <v>70079076.29</v>
      </c>
    </row>
    <row r="94" spans="1:7" ht="15">
      <c r="A94" s="21" t="s">
        <v>311</v>
      </c>
      <c r="B94" s="85">
        <v>6188227</v>
      </c>
      <c r="C94" s="85">
        <v>-684416.88</v>
      </c>
      <c r="D94" s="85">
        <v>5503810.12</v>
      </c>
      <c r="E94" s="85">
        <v>28000.43</v>
      </c>
      <c r="F94" s="85">
        <v>28000.43</v>
      </c>
      <c r="G94" s="85">
        <f>D94-E94</f>
        <v>5475809.69</v>
      </c>
    </row>
    <row r="95" spans="1:7" ht="15">
      <c r="A95" s="21" t="s">
        <v>312</v>
      </c>
      <c r="B95" s="85">
        <v>9984017</v>
      </c>
      <c r="C95" s="85">
        <v>2953411.33</v>
      </c>
      <c r="D95" s="85">
        <v>12937428.33</v>
      </c>
      <c r="E95" s="85">
        <v>1465486.33</v>
      </c>
      <c r="F95" s="85">
        <v>1465486.33</v>
      </c>
      <c r="G95" s="85">
        <f aca="true" t="shared" si="21" ref="G95:G102">D95-E95</f>
        <v>11471942</v>
      </c>
    </row>
    <row r="96" spans="1:7" ht="15">
      <c r="A96" s="21" t="s">
        <v>313</v>
      </c>
      <c r="B96" s="85">
        <v>0</v>
      </c>
      <c r="C96" s="85">
        <v>7439910.4</v>
      </c>
      <c r="D96" s="85">
        <v>7439910.4</v>
      </c>
      <c r="E96" s="85">
        <v>0</v>
      </c>
      <c r="F96" s="85">
        <v>0</v>
      </c>
      <c r="G96" s="85">
        <f t="shared" si="21"/>
        <v>7439910.4</v>
      </c>
    </row>
    <row r="97" spans="1:7" ht="15">
      <c r="A97" s="21" t="s">
        <v>314</v>
      </c>
      <c r="B97" s="85">
        <v>1273609</v>
      </c>
      <c r="C97" s="85">
        <v>1580654.29</v>
      </c>
      <c r="D97" s="85">
        <v>2854263.29</v>
      </c>
      <c r="E97" s="85">
        <v>3731.09</v>
      </c>
      <c r="F97" s="85">
        <v>3731.09</v>
      </c>
      <c r="G97" s="85">
        <f t="shared" si="21"/>
        <v>2850532.2</v>
      </c>
    </row>
    <row r="98" spans="1:7" ht="15">
      <c r="A98" s="24" t="s">
        <v>315</v>
      </c>
      <c r="B98" s="85">
        <v>2865637</v>
      </c>
      <c r="C98" s="85">
        <v>-358049.06</v>
      </c>
      <c r="D98" s="85">
        <v>2507587.94</v>
      </c>
      <c r="E98" s="85">
        <v>141950.94</v>
      </c>
      <c r="F98" s="85">
        <v>141950.94</v>
      </c>
      <c r="G98" s="85">
        <f t="shared" si="21"/>
        <v>2365637</v>
      </c>
    </row>
    <row r="99" spans="1:7" ht="15">
      <c r="A99" s="21" t="s">
        <v>316</v>
      </c>
      <c r="B99" s="85">
        <v>10125837</v>
      </c>
      <c r="C99" s="85">
        <v>1615210.11</v>
      </c>
      <c r="D99" s="85">
        <v>11741047.11</v>
      </c>
      <c r="E99" s="85">
        <v>434820.11</v>
      </c>
      <c r="F99" s="85">
        <v>434820.11</v>
      </c>
      <c r="G99" s="85">
        <f t="shared" si="21"/>
        <v>11306227</v>
      </c>
    </row>
    <row r="100" spans="1:7" ht="15">
      <c r="A100" s="21" t="s">
        <v>317</v>
      </c>
      <c r="B100" s="85">
        <v>21388270</v>
      </c>
      <c r="C100" s="85">
        <v>4120966.8</v>
      </c>
      <c r="D100" s="85">
        <v>25509236.8</v>
      </c>
      <c r="E100" s="85">
        <v>2678730</v>
      </c>
      <c r="F100" s="85">
        <v>2678730</v>
      </c>
      <c r="G100" s="85">
        <f t="shared" si="21"/>
        <v>22830506.8</v>
      </c>
    </row>
    <row r="101" spans="1:7" ht="15">
      <c r="A101" s="21" t="s">
        <v>318</v>
      </c>
      <c r="B101" s="85">
        <v>0</v>
      </c>
      <c r="C101" s="85">
        <v>900000</v>
      </c>
      <c r="D101" s="85">
        <v>900000</v>
      </c>
      <c r="E101" s="85">
        <v>0</v>
      </c>
      <c r="F101" s="85">
        <v>0</v>
      </c>
      <c r="G101" s="85">
        <f t="shared" si="21"/>
        <v>900000</v>
      </c>
    </row>
    <row r="102" spans="1:7" ht="15">
      <c r="A102" s="21" t="s">
        <v>319</v>
      </c>
      <c r="B102" s="85">
        <v>5134371</v>
      </c>
      <c r="C102" s="85">
        <v>311872.45</v>
      </c>
      <c r="D102" s="85">
        <v>5446243.45</v>
      </c>
      <c r="E102" s="85">
        <v>7732.25</v>
      </c>
      <c r="F102" s="85">
        <v>7732.25</v>
      </c>
      <c r="G102" s="85">
        <f t="shared" si="21"/>
        <v>5438511.2</v>
      </c>
    </row>
    <row r="103" spans="1:7" ht="15">
      <c r="A103" s="20" t="s">
        <v>320</v>
      </c>
      <c r="B103" s="85">
        <f aca="true" t="shared" si="22" ref="B103:G103">SUM(B104:B112)</f>
        <v>281369018</v>
      </c>
      <c r="C103" s="85">
        <f t="shared" si="22"/>
        <v>16508740.189999998</v>
      </c>
      <c r="D103" s="85">
        <f t="shared" si="22"/>
        <v>297877758.18999994</v>
      </c>
      <c r="E103" s="85">
        <f t="shared" si="22"/>
        <v>43218816.93</v>
      </c>
      <c r="F103" s="85">
        <f t="shared" si="22"/>
        <v>43218816.93</v>
      </c>
      <c r="G103" s="85">
        <f t="shared" si="22"/>
        <v>254658941.26</v>
      </c>
    </row>
    <row r="104" spans="1:7" ht="15">
      <c r="A104" s="21" t="s">
        <v>321</v>
      </c>
      <c r="B104" s="85">
        <v>128476035</v>
      </c>
      <c r="C104" s="85">
        <v>-10149358.18</v>
      </c>
      <c r="D104" s="85">
        <v>118326676.82</v>
      </c>
      <c r="E104" s="85">
        <v>10877683.56</v>
      </c>
      <c r="F104" s="85">
        <v>10877683.56</v>
      </c>
      <c r="G104" s="85">
        <f>D104-E104</f>
        <v>107448993.25999999</v>
      </c>
    </row>
    <row r="105" spans="1:7" ht="15">
      <c r="A105" s="21" t="s">
        <v>322</v>
      </c>
      <c r="B105" s="85">
        <v>9135550</v>
      </c>
      <c r="C105" s="85">
        <v>250217.6</v>
      </c>
      <c r="D105" s="85">
        <v>9385767.6</v>
      </c>
      <c r="E105" s="85">
        <v>958037.6</v>
      </c>
      <c r="F105" s="85">
        <v>958037.6</v>
      </c>
      <c r="G105" s="85">
        <f aca="true" t="shared" si="23" ref="G105:G112">D105-E105</f>
        <v>8427730</v>
      </c>
    </row>
    <row r="106" spans="1:7" ht="15">
      <c r="A106" s="21" t="s">
        <v>323</v>
      </c>
      <c r="B106" s="85">
        <v>17021048</v>
      </c>
      <c r="C106" s="85">
        <v>1931189.59</v>
      </c>
      <c r="D106" s="85">
        <v>18952237.59</v>
      </c>
      <c r="E106" s="85">
        <v>1878111.59</v>
      </c>
      <c r="F106" s="85">
        <v>1878111.59</v>
      </c>
      <c r="G106" s="85">
        <f t="shared" si="23"/>
        <v>17074126</v>
      </c>
    </row>
    <row r="107" spans="1:7" ht="15">
      <c r="A107" s="21" t="s">
        <v>324</v>
      </c>
      <c r="B107" s="85">
        <v>497812</v>
      </c>
      <c r="C107" s="85">
        <v>273008</v>
      </c>
      <c r="D107" s="85">
        <v>770820</v>
      </c>
      <c r="E107" s="85">
        <v>0</v>
      </c>
      <c r="F107" s="85">
        <v>0</v>
      </c>
      <c r="G107" s="85">
        <f t="shared" si="23"/>
        <v>770820</v>
      </c>
    </row>
    <row r="108" spans="1:7" ht="15">
      <c r="A108" s="21" t="s">
        <v>325</v>
      </c>
      <c r="B108" s="85">
        <v>114828450</v>
      </c>
      <c r="C108" s="85">
        <v>24489845</v>
      </c>
      <c r="D108" s="85">
        <v>139318295</v>
      </c>
      <c r="E108" s="85">
        <v>28993811</v>
      </c>
      <c r="F108" s="85">
        <v>28993811</v>
      </c>
      <c r="G108" s="85">
        <f t="shared" si="23"/>
        <v>110324484</v>
      </c>
    </row>
    <row r="109" spans="1:7" ht="15">
      <c r="A109" s="21" t="s">
        <v>326</v>
      </c>
      <c r="B109" s="85">
        <v>741650</v>
      </c>
      <c r="C109" s="85">
        <v>119473.84</v>
      </c>
      <c r="D109" s="85">
        <v>861123.84</v>
      </c>
      <c r="E109" s="85">
        <v>119473.84</v>
      </c>
      <c r="F109" s="85">
        <v>119473.84</v>
      </c>
      <c r="G109" s="85">
        <f t="shared" si="23"/>
        <v>741650</v>
      </c>
    </row>
    <row r="110" spans="1:7" ht="15">
      <c r="A110" s="21" t="s">
        <v>327</v>
      </c>
      <c r="B110" s="85">
        <v>5084679</v>
      </c>
      <c r="C110" s="85">
        <v>-242355.74</v>
      </c>
      <c r="D110" s="85">
        <v>4842323.26</v>
      </c>
      <c r="E110" s="85">
        <v>236517.26</v>
      </c>
      <c r="F110" s="85">
        <v>236517.26</v>
      </c>
      <c r="G110" s="85">
        <f t="shared" si="23"/>
        <v>4605806</v>
      </c>
    </row>
    <row r="111" spans="1:7" ht="15">
      <c r="A111" s="21" t="s">
        <v>328</v>
      </c>
      <c r="B111" s="85">
        <v>4824723</v>
      </c>
      <c r="C111" s="85">
        <v>-165047.92</v>
      </c>
      <c r="D111" s="85">
        <v>4659675.08</v>
      </c>
      <c r="E111" s="85">
        <v>153414.08</v>
      </c>
      <c r="F111" s="85">
        <v>153414.08</v>
      </c>
      <c r="G111" s="85">
        <f t="shared" si="23"/>
        <v>4506261</v>
      </c>
    </row>
    <row r="112" spans="1:7" ht="15">
      <c r="A112" s="21" t="s">
        <v>329</v>
      </c>
      <c r="B112" s="85">
        <v>759071</v>
      </c>
      <c r="C112" s="85">
        <v>1768</v>
      </c>
      <c r="D112" s="85">
        <v>760839</v>
      </c>
      <c r="E112" s="85">
        <v>1768</v>
      </c>
      <c r="F112" s="85">
        <v>1768</v>
      </c>
      <c r="G112" s="85">
        <f t="shared" si="23"/>
        <v>759071</v>
      </c>
    </row>
    <row r="113" spans="1:7" ht="15">
      <c r="A113" s="20" t="s">
        <v>330</v>
      </c>
      <c r="B113" s="85">
        <f aca="true" t="shared" si="24" ref="B113:G113">SUM(B114:B122)</f>
        <v>4143698776</v>
      </c>
      <c r="C113" s="85">
        <f t="shared" si="24"/>
        <v>189594323.12</v>
      </c>
      <c r="D113" s="85">
        <f t="shared" si="24"/>
        <v>4333293099.12</v>
      </c>
      <c r="E113" s="85">
        <f t="shared" si="24"/>
        <v>1016712193.41</v>
      </c>
      <c r="F113" s="85">
        <f t="shared" si="24"/>
        <v>1016712193.41</v>
      </c>
      <c r="G113" s="85">
        <f t="shared" si="24"/>
        <v>3316580905.71</v>
      </c>
    </row>
    <row r="114" spans="1:7" ht="15">
      <c r="A114" s="21" t="s">
        <v>331</v>
      </c>
      <c r="B114" s="85">
        <v>0</v>
      </c>
      <c r="C114" s="85">
        <v>0</v>
      </c>
      <c r="D114" s="85">
        <v>0</v>
      </c>
      <c r="E114" s="85">
        <v>0</v>
      </c>
      <c r="F114" s="85">
        <v>0</v>
      </c>
      <c r="G114" s="85">
        <f>D114-E114</f>
        <v>0</v>
      </c>
    </row>
    <row r="115" spans="1:7" ht="15">
      <c r="A115" s="21" t="s">
        <v>332</v>
      </c>
      <c r="B115" s="85">
        <v>4132871496</v>
      </c>
      <c r="C115" s="85">
        <v>189314323.12</v>
      </c>
      <c r="D115" s="85">
        <v>4322185819.12</v>
      </c>
      <c r="E115" s="85">
        <v>1016712193.41</v>
      </c>
      <c r="F115" s="85">
        <v>1016712193.41</v>
      </c>
      <c r="G115" s="85">
        <f aca="true" t="shared" si="25" ref="G115:G122">D115-E115</f>
        <v>3305473625.71</v>
      </c>
    </row>
    <row r="116" spans="1:7" ht="15">
      <c r="A116" s="21" t="s">
        <v>333</v>
      </c>
      <c r="B116" s="85">
        <v>0</v>
      </c>
      <c r="C116" s="85">
        <v>0</v>
      </c>
      <c r="D116" s="85">
        <v>0</v>
      </c>
      <c r="E116" s="85">
        <v>0</v>
      </c>
      <c r="F116" s="85">
        <v>0</v>
      </c>
      <c r="G116" s="85">
        <f t="shared" si="25"/>
        <v>0</v>
      </c>
    </row>
    <row r="117" spans="1:7" ht="15">
      <c r="A117" s="21" t="s">
        <v>334</v>
      </c>
      <c r="B117" s="85">
        <v>10827280</v>
      </c>
      <c r="C117" s="85">
        <v>280000</v>
      </c>
      <c r="D117" s="85">
        <v>11107280</v>
      </c>
      <c r="E117" s="85">
        <v>0</v>
      </c>
      <c r="F117" s="85">
        <v>0</v>
      </c>
      <c r="G117" s="85">
        <f t="shared" si="25"/>
        <v>11107280</v>
      </c>
    </row>
    <row r="118" spans="1:7" ht="15">
      <c r="A118" s="21" t="s">
        <v>335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f t="shared" si="25"/>
        <v>0</v>
      </c>
    </row>
    <row r="119" spans="1:7" ht="15">
      <c r="A119" s="21" t="s">
        <v>336</v>
      </c>
      <c r="B119" s="85">
        <v>0</v>
      </c>
      <c r="C119" s="85">
        <v>0</v>
      </c>
      <c r="D119" s="85">
        <v>0</v>
      </c>
      <c r="E119" s="85">
        <v>0</v>
      </c>
      <c r="F119" s="85">
        <v>0</v>
      </c>
      <c r="G119" s="85">
        <f t="shared" si="25"/>
        <v>0</v>
      </c>
    </row>
    <row r="120" spans="1:7" ht="15">
      <c r="A120" s="21" t="s">
        <v>337</v>
      </c>
      <c r="B120" s="85">
        <v>0</v>
      </c>
      <c r="C120" s="85">
        <v>0</v>
      </c>
      <c r="D120" s="85">
        <v>0</v>
      </c>
      <c r="E120" s="85">
        <v>0</v>
      </c>
      <c r="F120" s="85">
        <v>0</v>
      </c>
      <c r="G120" s="85">
        <f t="shared" si="25"/>
        <v>0</v>
      </c>
    </row>
    <row r="121" spans="1:7" ht="15">
      <c r="A121" s="21" t="s">
        <v>338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f t="shared" si="25"/>
        <v>0</v>
      </c>
    </row>
    <row r="122" spans="1:7" ht="15">
      <c r="A122" s="21" t="s">
        <v>339</v>
      </c>
      <c r="B122" s="85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f t="shared" si="25"/>
        <v>0</v>
      </c>
    </row>
    <row r="123" spans="1:7" ht="15">
      <c r="A123" s="20" t="s">
        <v>340</v>
      </c>
      <c r="B123" s="85">
        <f aca="true" t="shared" si="26" ref="B123:G123">SUM(B124:B132)</f>
        <v>50786993</v>
      </c>
      <c r="C123" s="85">
        <f t="shared" si="26"/>
        <v>56834753.38</v>
      </c>
      <c r="D123" s="85">
        <f t="shared" si="26"/>
        <v>107621746.38</v>
      </c>
      <c r="E123" s="85">
        <f t="shared" si="26"/>
        <v>2381562.38</v>
      </c>
      <c r="F123" s="85">
        <f t="shared" si="26"/>
        <v>2381562.38</v>
      </c>
      <c r="G123" s="85">
        <f t="shared" si="26"/>
        <v>105240184</v>
      </c>
    </row>
    <row r="124" spans="1:7" ht="15">
      <c r="A124" s="21" t="s">
        <v>341</v>
      </c>
      <c r="B124" s="85">
        <v>21201885</v>
      </c>
      <c r="C124" s="85">
        <v>5008372.38</v>
      </c>
      <c r="D124" s="85">
        <v>26210257.38</v>
      </c>
      <c r="E124" s="85">
        <v>972642.38</v>
      </c>
      <c r="F124" s="85">
        <v>972642.38</v>
      </c>
      <c r="G124" s="85">
        <f>D124-E124</f>
        <v>25237615</v>
      </c>
    </row>
    <row r="125" spans="1:7" ht="15">
      <c r="A125" s="21" t="s">
        <v>342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f aca="true" t="shared" si="27" ref="G125:G132">D125-E125</f>
        <v>0</v>
      </c>
    </row>
    <row r="126" spans="1:7" ht="15">
      <c r="A126" s="21" t="s">
        <v>343</v>
      </c>
      <c r="B126" s="85">
        <v>350000</v>
      </c>
      <c r="C126" s="85">
        <v>1850000</v>
      </c>
      <c r="D126" s="85">
        <v>2200000</v>
      </c>
      <c r="E126" s="85">
        <v>0</v>
      </c>
      <c r="F126" s="85">
        <v>0</v>
      </c>
      <c r="G126" s="85">
        <f t="shared" si="27"/>
        <v>2200000</v>
      </c>
    </row>
    <row r="127" spans="1:7" ht="15">
      <c r="A127" s="21" t="s">
        <v>344</v>
      </c>
      <c r="B127" s="85">
        <v>24663108</v>
      </c>
      <c r="C127" s="85">
        <v>49125381</v>
      </c>
      <c r="D127" s="85">
        <v>73788489</v>
      </c>
      <c r="E127" s="85">
        <v>1408920</v>
      </c>
      <c r="F127" s="85">
        <v>1408920</v>
      </c>
      <c r="G127" s="85">
        <f t="shared" si="27"/>
        <v>72379569</v>
      </c>
    </row>
    <row r="128" spans="1:7" ht="15">
      <c r="A128" s="21" t="s">
        <v>345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f t="shared" si="27"/>
        <v>0</v>
      </c>
    </row>
    <row r="129" spans="1:7" ht="15">
      <c r="A129" s="21" t="s">
        <v>346</v>
      </c>
      <c r="B129" s="85">
        <v>1532000</v>
      </c>
      <c r="C129" s="85">
        <v>-209000</v>
      </c>
      <c r="D129" s="85">
        <v>1323000</v>
      </c>
      <c r="E129" s="85">
        <v>0</v>
      </c>
      <c r="F129" s="85">
        <v>0</v>
      </c>
      <c r="G129" s="85">
        <f t="shared" si="27"/>
        <v>1323000</v>
      </c>
    </row>
    <row r="130" spans="1:7" ht="15">
      <c r="A130" s="21" t="s">
        <v>347</v>
      </c>
      <c r="B130" s="85">
        <v>0</v>
      </c>
      <c r="C130" s="85">
        <v>0</v>
      </c>
      <c r="D130" s="85">
        <v>0</v>
      </c>
      <c r="E130" s="85">
        <v>0</v>
      </c>
      <c r="F130" s="85">
        <v>0</v>
      </c>
      <c r="G130" s="85">
        <f t="shared" si="27"/>
        <v>0</v>
      </c>
    </row>
    <row r="131" spans="1:7" ht="15">
      <c r="A131" s="21" t="s">
        <v>348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f t="shared" si="27"/>
        <v>0</v>
      </c>
    </row>
    <row r="132" spans="1:7" ht="15">
      <c r="A132" s="21" t="s">
        <v>349</v>
      </c>
      <c r="B132" s="85">
        <v>3040000</v>
      </c>
      <c r="C132" s="85">
        <v>1060000</v>
      </c>
      <c r="D132" s="85">
        <v>4100000</v>
      </c>
      <c r="E132" s="85">
        <v>0</v>
      </c>
      <c r="F132" s="85">
        <v>0</v>
      </c>
      <c r="G132" s="85">
        <f t="shared" si="27"/>
        <v>4100000</v>
      </c>
    </row>
    <row r="133" spans="1:7" ht="15">
      <c r="A133" s="20" t="s">
        <v>350</v>
      </c>
      <c r="B133" s="85">
        <f aca="true" t="shared" si="28" ref="B133:G133">SUM(B134:B136)</f>
        <v>488314264</v>
      </c>
      <c r="C133" s="85">
        <f t="shared" si="28"/>
        <v>316153116.95</v>
      </c>
      <c r="D133" s="85">
        <f t="shared" si="28"/>
        <v>804467380.95</v>
      </c>
      <c r="E133" s="85">
        <f t="shared" si="28"/>
        <v>344279483.63</v>
      </c>
      <c r="F133" s="85">
        <f t="shared" si="28"/>
        <v>11858070.57</v>
      </c>
      <c r="G133" s="85">
        <f t="shared" si="28"/>
        <v>460187897.32000005</v>
      </c>
    </row>
    <row r="134" spans="1:7" ht="15">
      <c r="A134" s="21" t="s">
        <v>351</v>
      </c>
      <c r="B134" s="85">
        <v>458888800</v>
      </c>
      <c r="C134" s="85">
        <v>322783022.2</v>
      </c>
      <c r="D134" s="85">
        <v>781671822.2</v>
      </c>
      <c r="E134" s="85">
        <v>340342145.89</v>
      </c>
      <c r="F134" s="85">
        <v>7920732.83</v>
      </c>
      <c r="G134" s="85">
        <f>D134-E134</f>
        <v>441329676.31000006</v>
      </c>
    </row>
    <row r="135" spans="1:7" ht="15">
      <c r="A135" s="21" t="s">
        <v>352</v>
      </c>
      <c r="B135" s="85">
        <v>29425464</v>
      </c>
      <c r="C135" s="85">
        <v>-6629905.25</v>
      </c>
      <c r="D135" s="85">
        <v>22795558.75</v>
      </c>
      <c r="E135" s="85">
        <v>3937337.74</v>
      </c>
      <c r="F135" s="85">
        <v>3937337.74</v>
      </c>
      <c r="G135" s="85">
        <f>D135-E135</f>
        <v>18858221.009999998</v>
      </c>
    </row>
    <row r="136" spans="1:7" ht="15">
      <c r="A136" s="21" t="s">
        <v>353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f>D136-E136</f>
        <v>0</v>
      </c>
    </row>
    <row r="137" spans="1:7" ht="15">
      <c r="A137" s="20" t="s">
        <v>354</v>
      </c>
      <c r="B137" s="85">
        <f aca="true" t="shared" si="29" ref="B137:G137">SUM(B138:B142,B144:B145)</f>
        <v>0</v>
      </c>
      <c r="C137" s="85">
        <f t="shared" si="29"/>
        <v>0</v>
      </c>
      <c r="D137" s="85">
        <f t="shared" si="29"/>
        <v>0</v>
      </c>
      <c r="E137" s="85">
        <f t="shared" si="29"/>
        <v>0</v>
      </c>
      <c r="F137" s="85">
        <f t="shared" si="29"/>
        <v>0</v>
      </c>
      <c r="G137" s="85">
        <f t="shared" si="29"/>
        <v>0</v>
      </c>
    </row>
    <row r="138" spans="1:7" ht="15">
      <c r="A138" s="21" t="s">
        <v>355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f>D138-E138</f>
        <v>0</v>
      </c>
    </row>
    <row r="139" spans="1:7" ht="15">
      <c r="A139" s="21" t="s">
        <v>356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f aca="true" t="shared" si="30" ref="G139:G145">D139-E139</f>
        <v>0</v>
      </c>
    </row>
    <row r="140" spans="1:7" ht="15">
      <c r="A140" s="21" t="s">
        <v>357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f t="shared" si="30"/>
        <v>0</v>
      </c>
    </row>
    <row r="141" spans="1:7" ht="15">
      <c r="A141" s="21" t="s">
        <v>358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f t="shared" si="30"/>
        <v>0</v>
      </c>
    </row>
    <row r="142" spans="1:7" ht="15">
      <c r="A142" s="21" t="s">
        <v>359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f t="shared" si="30"/>
        <v>0</v>
      </c>
    </row>
    <row r="143" spans="1:7" ht="15">
      <c r="A143" s="21" t="s">
        <v>360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f t="shared" si="30"/>
        <v>0</v>
      </c>
    </row>
    <row r="144" spans="1:7" ht="15">
      <c r="A144" s="21" t="s">
        <v>361</v>
      </c>
      <c r="B144" s="85">
        <v>0</v>
      </c>
      <c r="C144" s="85">
        <v>0</v>
      </c>
      <c r="D144" s="85">
        <v>0</v>
      </c>
      <c r="E144" s="85">
        <v>0</v>
      </c>
      <c r="F144" s="85">
        <v>0</v>
      </c>
      <c r="G144" s="85">
        <f t="shared" si="30"/>
        <v>0</v>
      </c>
    </row>
    <row r="145" spans="1:7" ht="15">
      <c r="A145" s="21" t="s">
        <v>362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f t="shared" si="30"/>
        <v>0</v>
      </c>
    </row>
    <row r="146" spans="1:7" ht="15">
      <c r="A146" s="20" t="s">
        <v>363</v>
      </c>
      <c r="B146" s="85">
        <f aca="true" t="shared" si="31" ref="B146:G146">SUM(B147:B149)</f>
        <v>1572139898</v>
      </c>
      <c r="C146" s="85">
        <f t="shared" si="31"/>
        <v>68919976.94999999</v>
      </c>
      <c r="D146" s="85">
        <f t="shared" si="31"/>
        <v>1641059874.9499998</v>
      </c>
      <c r="E146" s="85">
        <f t="shared" si="31"/>
        <v>432400742.66999996</v>
      </c>
      <c r="F146" s="85">
        <f t="shared" si="31"/>
        <v>432400742.66999996</v>
      </c>
      <c r="G146" s="85">
        <f t="shared" si="31"/>
        <v>1208659132.28</v>
      </c>
    </row>
    <row r="147" spans="1:7" ht="15">
      <c r="A147" s="21" t="s">
        <v>364</v>
      </c>
      <c r="B147" s="85">
        <v>0</v>
      </c>
      <c r="C147" s="85">
        <v>0</v>
      </c>
      <c r="D147" s="85">
        <v>0</v>
      </c>
      <c r="E147" s="85">
        <v>0</v>
      </c>
      <c r="F147" s="85">
        <v>0</v>
      </c>
      <c r="G147" s="85">
        <f>D147-E147</f>
        <v>0</v>
      </c>
    </row>
    <row r="148" spans="1:7" ht="15">
      <c r="A148" s="21" t="s">
        <v>365</v>
      </c>
      <c r="B148" s="85">
        <v>1474236409</v>
      </c>
      <c r="C148" s="85">
        <v>-8017383.9</v>
      </c>
      <c r="D148" s="85">
        <v>1466219025.1</v>
      </c>
      <c r="E148" s="85">
        <v>407149007.77</v>
      </c>
      <c r="F148" s="85">
        <v>407149007.77</v>
      </c>
      <c r="G148" s="85">
        <f>D148-E148</f>
        <v>1059070017.3299999</v>
      </c>
    </row>
    <row r="149" spans="1:7" ht="15">
      <c r="A149" s="21" t="s">
        <v>366</v>
      </c>
      <c r="B149" s="85">
        <v>97903489</v>
      </c>
      <c r="C149" s="85">
        <v>76937360.85</v>
      </c>
      <c r="D149" s="85">
        <v>174840849.85</v>
      </c>
      <c r="E149" s="85">
        <v>25251734.9</v>
      </c>
      <c r="F149" s="85">
        <v>25251734.9</v>
      </c>
      <c r="G149" s="85">
        <f>D149-E149</f>
        <v>149589114.95</v>
      </c>
    </row>
    <row r="150" spans="1:7" ht="15">
      <c r="A150" s="20" t="s">
        <v>367</v>
      </c>
      <c r="B150" s="85">
        <f aca="true" t="shared" si="32" ref="B150:G150">SUM(B151:B157)</f>
        <v>0</v>
      </c>
      <c r="C150" s="85">
        <f t="shared" si="32"/>
        <v>0</v>
      </c>
      <c r="D150" s="85">
        <f t="shared" si="32"/>
        <v>0</v>
      </c>
      <c r="E150" s="85">
        <f t="shared" si="32"/>
        <v>0</v>
      </c>
      <c r="F150" s="85">
        <f t="shared" si="32"/>
        <v>0</v>
      </c>
      <c r="G150" s="85">
        <f t="shared" si="32"/>
        <v>0</v>
      </c>
    </row>
    <row r="151" spans="1:7" ht="15">
      <c r="A151" s="21" t="s">
        <v>368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f>D151-E151</f>
        <v>0</v>
      </c>
    </row>
    <row r="152" spans="1:7" ht="15">
      <c r="A152" s="21" t="s">
        <v>369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f aca="true" t="shared" si="33" ref="G152:G157">D152-E152</f>
        <v>0</v>
      </c>
    </row>
    <row r="153" spans="1:7" ht="15">
      <c r="A153" s="21" t="s">
        <v>370</v>
      </c>
      <c r="B153" s="85">
        <v>0</v>
      </c>
      <c r="C153" s="85">
        <v>0</v>
      </c>
      <c r="D153" s="85">
        <v>0</v>
      </c>
      <c r="E153" s="85">
        <v>0</v>
      </c>
      <c r="F153" s="85">
        <v>0</v>
      </c>
      <c r="G153" s="85">
        <f t="shared" si="33"/>
        <v>0</v>
      </c>
    </row>
    <row r="154" spans="1:7" ht="15">
      <c r="A154" s="24" t="s">
        <v>371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f t="shared" si="33"/>
        <v>0</v>
      </c>
    </row>
    <row r="155" spans="1:7" ht="15">
      <c r="A155" s="21" t="s">
        <v>372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f t="shared" si="33"/>
        <v>0</v>
      </c>
    </row>
    <row r="156" spans="1:7" ht="15">
      <c r="A156" s="21" t="s">
        <v>373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f t="shared" si="33"/>
        <v>0</v>
      </c>
    </row>
    <row r="157" spans="1:7" ht="15">
      <c r="A157" s="21" t="s">
        <v>374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f t="shared" si="33"/>
        <v>0</v>
      </c>
    </row>
    <row r="158" spans="1:7" ht="15">
      <c r="A158" s="25"/>
      <c r="B158" s="86"/>
      <c r="C158" s="86"/>
      <c r="D158" s="86"/>
      <c r="E158" s="86"/>
      <c r="F158" s="86"/>
      <c r="G158" s="86"/>
    </row>
    <row r="159" spans="1:7" ht="15">
      <c r="A159" s="26" t="s">
        <v>376</v>
      </c>
      <c r="B159" s="87">
        <f aca="true" t="shared" si="34" ref="B159:G159">B9+B84</f>
        <v>21982741867</v>
      </c>
      <c r="C159" s="87">
        <f t="shared" si="34"/>
        <v>1700012786.25</v>
      </c>
      <c r="D159" s="87">
        <f t="shared" si="34"/>
        <v>23682754653.25</v>
      </c>
      <c r="E159" s="87">
        <f t="shared" si="34"/>
        <v>5447037202.23</v>
      </c>
      <c r="F159" s="87">
        <f t="shared" si="34"/>
        <v>5103243225.389999</v>
      </c>
      <c r="G159" s="87">
        <f t="shared" si="34"/>
        <v>18235717451.02</v>
      </c>
    </row>
    <row r="160" spans="1:7" ht="15">
      <c r="A160" s="4"/>
      <c r="B160" s="119"/>
      <c r="C160" s="119"/>
      <c r="D160" s="119"/>
      <c r="E160" s="119"/>
      <c r="F160" s="119"/>
      <c r="G160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:G10 G11:G17 G19:G27 B18:F18 B28:F28 G29:G37 B38:F38 B48:F48 G55:G57 G59:G61 G63:G70 B62:F62 B71:F71 B75:F75 G76:G78 G72:G74 G79:G82 B84:G84 B85:F85 G85:G92 G94:G102 B103:F103 G104:G112 G114:G120 B113:F113 B123:F123 G121:G122 G124:G132 B133:F133 B137:F137 G135:G136 G138:G139 G140:G145 G147:G149 B146:F146 B150:F150 G151:G157 B159:G159" unlockedFormula="1"/>
    <ignoredError sqref="G18 G28 G38 G39:G54 G62 G58 B58:F58 G75 G71 B93:G93 G103 G123 G134 G133 G137 G146 G150 G11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B56" sqref="B56"/>
    </sheetView>
  </sheetViews>
  <sheetFormatPr defaultColWidth="0" defaultRowHeight="15" zeroHeight="1"/>
  <cols>
    <col min="1" max="1" width="59.28125" style="0" customWidth="1"/>
    <col min="2" max="6" width="20.7109375" style="0" customWidth="1"/>
    <col min="7" max="7" width="18.28125" style="0" customWidth="1"/>
    <col min="8" max="16384" width="11.421875" style="0" hidden="1" customWidth="1"/>
  </cols>
  <sheetData>
    <row r="1" spans="1:7" ht="21">
      <c r="A1" s="148" t="s">
        <v>377</v>
      </c>
      <c r="B1" s="148"/>
      <c r="C1" s="148"/>
      <c r="D1" s="148"/>
      <c r="E1" s="148"/>
      <c r="F1" s="148"/>
      <c r="G1" s="148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293</v>
      </c>
      <c r="B3" s="130"/>
      <c r="C3" s="130"/>
      <c r="D3" s="130"/>
      <c r="E3" s="130"/>
      <c r="F3" s="130"/>
      <c r="G3" s="131"/>
    </row>
    <row r="4" spans="1:7" ht="15">
      <c r="A4" s="129" t="s">
        <v>378</v>
      </c>
      <c r="B4" s="130"/>
      <c r="C4" s="130"/>
      <c r="D4" s="130"/>
      <c r="E4" s="130"/>
      <c r="F4" s="130"/>
      <c r="G4" s="131"/>
    </row>
    <row r="5" spans="1:7" ht="15">
      <c r="A5" s="132" t="s">
        <v>483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42" t="s">
        <v>4</v>
      </c>
      <c r="B7" s="144" t="s">
        <v>295</v>
      </c>
      <c r="C7" s="144"/>
      <c r="D7" s="144"/>
      <c r="E7" s="144"/>
      <c r="F7" s="144"/>
      <c r="G7" s="147" t="s">
        <v>296</v>
      </c>
    </row>
    <row r="8" spans="1:7" ht="30">
      <c r="A8" s="143"/>
      <c r="B8" s="18" t="s">
        <v>297</v>
      </c>
      <c r="C8" s="6" t="s">
        <v>226</v>
      </c>
      <c r="D8" s="18" t="s">
        <v>227</v>
      </c>
      <c r="E8" s="18" t="s">
        <v>182</v>
      </c>
      <c r="F8" s="18" t="s">
        <v>199</v>
      </c>
      <c r="G8" s="146"/>
    </row>
    <row r="9" spans="1:7" ht="15">
      <c r="A9" s="19" t="s">
        <v>379</v>
      </c>
      <c r="B9" s="106">
        <f>SUM(B10:GASTO_NE_FIN_01)</f>
        <v>10872529362</v>
      </c>
      <c r="C9" s="106">
        <f>SUM(C10:GASTO_NE_FIN_02)</f>
        <v>1034122316.2199999</v>
      </c>
      <c r="D9" s="106">
        <f>SUM(D10:GASTO_NE_FIN_03)</f>
        <v>11906651678.22</v>
      </c>
      <c r="E9" s="106">
        <f>SUM(E10:GASTO_NE_FIN_04)</f>
        <v>2495333230.55</v>
      </c>
      <c r="F9" s="106">
        <f>SUM(F10:cvbcvb)</f>
        <v>2483960666.77</v>
      </c>
      <c r="G9" s="106">
        <f>SUM(G10:GASTO_NE_FIN_06)</f>
        <v>9411318447.670002</v>
      </c>
    </row>
    <row r="10" spans="1:7" ht="15">
      <c r="A10" s="40" t="s">
        <v>438</v>
      </c>
      <c r="B10" s="85">
        <v>212944296</v>
      </c>
      <c r="C10" s="85">
        <v>12728682.84</v>
      </c>
      <c r="D10" s="85">
        <v>225672978.84</v>
      </c>
      <c r="E10" s="85">
        <v>36073372.02</v>
      </c>
      <c r="F10" s="85">
        <v>35879220.07</v>
      </c>
      <c r="G10" s="85">
        <f>D10-E10</f>
        <v>189599606.82</v>
      </c>
    </row>
    <row r="11" spans="1:7" ht="15">
      <c r="A11" s="40" t="s">
        <v>439</v>
      </c>
      <c r="B11" s="85">
        <v>391239633</v>
      </c>
      <c r="C11" s="85">
        <v>6101770.07</v>
      </c>
      <c r="D11" s="85">
        <v>397341403.07</v>
      </c>
      <c r="E11" s="85">
        <v>84569833.39</v>
      </c>
      <c r="F11" s="85">
        <v>84300921.16</v>
      </c>
      <c r="G11" s="85">
        <f aca="true" t="shared" si="0" ref="G11:G38">D11-E11</f>
        <v>312771569.68</v>
      </c>
    </row>
    <row r="12" spans="1:7" ht="15">
      <c r="A12" s="40" t="s">
        <v>440</v>
      </c>
      <c r="B12" s="85">
        <v>375543907</v>
      </c>
      <c r="C12" s="85">
        <v>-10047523.74</v>
      </c>
      <c r="D12" s="85">
        <v>365496383.26</v>
      </c>
      <c r="E12" s="85">
        <v>41687574.59</v>
      </c>
      <c r="F12" s="85">
        <v>41316530.2</v>
      </c>
      <c r="G12" s="85">
        <f t="shared" si="0"/>
        <v>323808808.66999996</v>
      </c>
    </row>
    <row r="13" spans="1:7" ht="30">
      <c r="A13" s="82" t="s">
        <v>441</v>
      </c>
      <c r="B13" s="85">
        <v>211154572</v>
      </c>
      <c r="C13" s="85">
        <v>7143144.05</v>
      </c>
      <c r="D13" s="85">
        <v>218297716.05</v>
      </c>
      <c r="E13" s="85">
        <v>38626696.38</v>
      </c>
      <c r="F13" s="85">
        <v>38412596.48</v>
      </c>
      <c r="G13" s="85">
        <f t="shared" si="0"/>
        <v>179671019.67000002</v>
      </c>
    </row>
    <row r="14" spans="1:7" ht="15">
      <c r="A14" s="40" t="s">
        <v>442</v>
      </c>
      <c r="B14" s="85">
        <v>55147506</v>
      </c>
      <c r="C14" s="85">
        <v>13747157.7</v>
      </c>
      <c r="D14" s="85">
        <v>68894663.7</v>
      </c>
      <c r="E14" s="85">
        <v>13592456.63</v>
      </c>
      <c r="F14" s="85">
        <v>13501067.32</v>
      </c>
      <c r="G14" s="85">
        <f t="shared" si="0"/>
        <v>55302207.07</v>
      </c>
    </row>
    <row r="15" spans="1:7" ht="15">
      <c r="A15" s="40" t="s">
        <v>443</v>
      </c>
      <c r="B15" s="85">
        <v>39612273</v>
      </c>
      <c r="C15" s="85">
        <v>2737600</v>
      </c>
      <c r="D15" s="85">
        <v>42349873</v>
      </c>
      <c r="E15" s="85">
        <v>6173345.58</v>
      </c>
      <c r="F15" s="85">
        <v>6126768.91</v>
      </c>
      <c r="G15" s="85">
        <f t="shared" si="0"/>
        <v>36176527.42</v>
      </c>
    </row>
    <row r="16" spans="1:7" ht="15">
      <c r="A16" s="40" t="s">
        <v>444</v>
      </c>
      <c r="B16" s="85">
        <v>595382518</v>
      </c>
      <c r="C16" s="85">
        <v>-30439881.55</v>
      </c>
      <c r="D16" s="85">
        <v>564942636.45</v>
      </c>
      <c r="E16" s="85">
        <v>77696712.14</v>
      </c>
      <c r="F16" s="85">
        <v>77268772.19</v>
      </c>
      <c r="G16" s="85">
        <f t="shared" si="0"/>
        <v>487245924.31000006</v>
      </c>
    </row>
    <row r="17" spans="1:7" ht="15">
      <c r="A17" s="40" t="s">
        <v>445</v>
      </c>
      <c r="B17" s="85">
        <v>172334726</v>
      </c>
      <c r="C17" s="85">
        <v>484833.97</v>
      </c>
      <c r="D17" s="85">
        <v>172819559.97</v>
      </c>
      <c r="E17" s="85">
        <v>23509831.56</v>
      </c>
      <c r="F17" s="85">
        <v>23390194.99</v>
      </c>
      <c r="G17" s="85">
        <f t="shared" si="0"/>
        <v>149309728.41</v>
      </c>
    </row>
    <row r="18" spans="1:7" ht="15">
      <c r="A18" s="40" t="s">
        <v>446</v>
      </c>
      <c r="B18" s="85">
        <v>362096281</v>
      </c>
      <c r="C18" s="85">
        <v>14671752.24</v>
      </c>
      <c r="D18" s="85">
        <v>376768033.24</v>
      </c>
      <c r="E18" s="85">
        <v>89847580.11</v>
      </c>
      <c r="F18" s="85">
        <v>89501181.08</v>
      </c>
      <c r="G18" s="85">
        <f t="shared" si="0"/>
        <v>286920453.13</v>
      </c>
    </row>
    <row r="19" spans="1:7" ht="15">
      <c r="A19" s="40" t="s">
        <v>447</v>
      </c>
      <c r="B19" s="85">
        <v>211572253</v>
      </c>
      <c r="C19" s="85">
        <v>804400.97</v>
      </c>
      <c r="D19" s="85">
        <v>212376653.97</v>
      </c>
      <c r="E19" s="85">
        <v>16695409.01</v>
      </c>
      <c r="F19" s="85">
        <v>16560986.66</v>
      </c>
      <c r="G19" s="85">
        <f t="shared" si="0"/>
        <v>195681244.96</v>
      </c>
    </row>
    <row r="20" spans="1:7" ht="15">
      <c r="A20" s="40" t="s">
        <v>448</v>
      </c>
      <c r="B20" s="85">
        <v>11298008</v>
      </c>
      <c r="C20" s="85">
        <v>0</v>
      </c>
      <c r="D20" s="85">
        <v>11298008</v>
      </c>
      <c r="E20" s="85">
        <v>2126506.68</v>
      </c>
      <c r="F20" s="85">
        <v>2109685.26</v>
      </c>
      <c r="G20" s="85">
        <f t="shared" si="0"/>
        <v>9171501.32</v>
      </c>
    </row>
    <row r="21" spans="1:7" ht="15">
      <c r="A21" s="40" t="s">
        <v>449</v>
      </c>
      <c r="B21" s="85">
        <v>55104768</v>
      </c>
      <c r="C21" s="85">
        <v>207342.36</v>
      </c>
      <c r="D21" s="85">
        <v>55312110.36</v>
      </c>
      <c r="E21" s="85">
        <v>11273228.22</v>
      </c>
      <c r="F21" s="85">
        <v>11189824.48</v>
      </c>
      <c r="G21" s="85">
        <f t="shared" si="0"/>
        <v>44038882.14</v>
      </c>
    </row>
    <row r="22" spans="1:7" ht="15">
      <c r="A22" s="40" t="s">
        <v>450</v>
      </c>
      <c r="B22" s="85">
        <v>133199591</v>
      </c>
      <c r="C22" s="85">
        <v>24601876.39</v>
      </c>
      <c r="D22" s="85">
        <v>157801467.39</v>
      </c>
      <c r="E22" s="85">
        <v>40450283.43</v>
      </c>
      <c r="F22" s="85">
        <v>39517059.1</v>
      </c>
      <c r="G22" s="85">
        <f t="shared" si="0"/>
        <v>117351183.95999998</v>
      </c>
    </row>
    <row r="23" spans="1:7" ht="15">
      <c r="A23" s="40" t="s">
        <v>451</v>
      </c>
      <c r="B23" s="85">
        <v>58663257</v>
      </c>
      <c r="C23" s="85">
        <v>2446471.85</v>
      </c>
      <c r="D23" s="85">
        <v>61109728.85</v>
      </c>
      <c r="E23" s="85">
        <v>29736431.74</v>
      </c>
      <c r="F23" s="85">
        <v>27208897.06</v>
      </c>
      <c r="G23" s="85">
        <f t="shared" si="0"/>
        <v>31373297.110000003</v>
      </c>
    </row>
    <row r="24" spans="1:7" ht="30">
      <c r="A24" s="82" t="s">
        <v>484</v>
      </c>
      <c r="B24" s="85">
        <v>52987535</v>
      </c>
      <c r="C24" s="85">
        <v>551546.48</v>
      </c>
      <c r="D24" s="85">
        <v>53539081.48</v>
      </c>
      <c r="E24" s="85">
        <v>11411459.81</v>
      </c>
      <c r="F24" s="85">
        <v>11376873.66</v>
      </c>
      <c r="G24" s="85">
        <f t="shared" si="0"/>
        <v>42127621.669999994</v>
      </c>
    </row>
    <row r="25" spans="1:7" ht="30">
      <c r="A25" s="82" t="s">
        <v>452</v>
      </c>
      <c r="B25" s="85">
        <v>306763431</v>
      </c>
      <c r="C25" s="85">
        <v>824069045.04</v>
      </c>
      <c r="D25" s="85">
        <v>1130832476.04</v>
      </c>
      <c r="E25" s="85">
        <v>157485017.2</v>
      </c>
      <c r="F25" s="85">
        <v>157224765.3</v>
      </c>
      <c r="G25" s="85">
        <f t="shared" si="0"/>
        <v>973347458.8399999</v>
      </c>
    </row>
    <row r="26" spans="1:7" ht="15">
      <c r="A26" s="40" t="s">
        <v>453</v>
      </c>
      <c r="B26" s="85">
        <v>71454954</v>
      </c>
      <c r="C26" s="85">
        <v>6705060</v>
      </c>
      <c r="D26" s="85">
        <v>78160014</v>
      </c>
      <c r="E26" s="85">
        <v>19964339.34</v>
      </c>
      <c r="F26" s="85">
        <v>18088567.1</v>
      </c>
      <c r="G26" s="85">
        <f t="shared" si="0"/>
        <v>58195674.66</v>
      </c>
    </row>
    <row r="27" spans="1:7" ht="15">
      <c r="A27" s="40" t="s">
        <v>454</v>
      </c>
      <c r="B27" s="85">
        <v>48112504</v>
      </c>
      <c r="C27" s="85">
        <v>1660905.42</v>
      </c>
      <c r="D27" s="85">
        <v>49773409.42</v>
      </c>
      <c r="E27" s="85">
        <v>10158273.57</v>
      </c>
      <c r="F27" s="85">
        <v>10093763.04</v>
      </c>
      <c r="G27" s="85">
        <f t="shared" si="0"/>
        <v>39615135.85</v>
      </c>
    </row>
    <row r="28" spans="1:7" ht="15">
      <c r="A28" s="40" t="s">
        <v>455</v>
      </c>
      <c r="B28" s="85">
        <v>672262982</v>
      </c>
      <c r="C28" s="85">
        <v>-2385472.57</v>
      </c>
      <c r="D28" s="85">
        <v>669877509.43</v>
      </c>
      <c r="E28" s="85">
        <v>134770001.34</v>
      </c>
      <c r="F28" s="85">
        <v>133814745.75</v>
      </c>
      <c r="G28" s="85">
        <f t="shared" si="0"/>
        <v>535107508.0899999</v>
      </c>
    </row>
    <row r="29" spans="1:7" ht="15">
      <c r="A29" s="40" t="s">
        <v>456</v>
      </c>
      <c r="B29" s="85">
        <v>95006148</v>
      </c>
      <c r="C29" s="85">
        <v>1574410.59</v>
      </c>
      <c r="D29" s="85">
        <v>96580558.59</v>
      </c>
      <c r="E29" s="85">
        <v>26736350.9</v>
      </c>
      <c r="F29" s="85">
        <v>26672502.58</v>
      </c>
      <c r="G29" s="85">
        <f t="shared" si="0"/>
        <v>69844207.69</v>
      </c>
    </row>
    <row r="30" spans="1:7" ht="15">
      <c r="A30" s="40" t="s">
        <v>457</v>
      </c>
      <c r="B30" s="85">
        <v>21381199</v>
      </c>
      <c r="C30" s="85">
        <v>895350.42</v>
      </c>
      <c r="D30" s="85">
        <v>22276549.42</v>
      </c>
      <c r="E30" s="85">
        <v>4300730.71</v>
      </c>
      <c r="F30" s="85">
        <v>4277059.59</v>
      </c>
      <c r="G30" s="85">
        <f t="shared" si="0"/>
        <v>17975818.71</v>
      </c>
    </row>
    <row r="31" spans="1:7" ht="15">
      <c r="A31" s="40" t="s">
        <v>458</v>
      </c>
      <c r="B31" s="85">
        <v>393374186</v>
      </c>
      <c r="C31" s="85">
        <v>532438.79</v>
      </c>
      <c r="D31" s="85">
        <v>393906624.79</v>
      </c>
      <c r="E31" s="85">
        <v>77760707.92</v>
      </c>
      <c r="F31" s="85">
        <v>76740128.12</v>
      </c>
      <c r="G31" s="85">
        <f t="shared" si="0"/>
        <v>316145916.87</v>
      </c>
    </row>
    <row r="32" spans="1:7" ht="15">
      <c r="A32" s="40" t="s">
        <v>459</v>
      </c>
      <c r="B32" s="85">
        <v>352937060</v>
      </c>
      <c r="C32" s="85">
        <v>-8738127.67</v>
      </c>
      <c r="D32" s="85">
        <v>344198932.33</v>
      </c>
      <c r="E32" s="85">
        <v>66025458.7</v>
      </c>
      <c r="F32" s="85">
        <v>66025458.7</v>
      </c>
      <c r="G32" s="85">
        <f t="shared" si="0"/>
        <v>278173473.63</v>
      </c>
    </row>
    <row r="33" spans="1:7" ht="15">
      <c r="A33" s="40" t="s">
        <v>460</v>
      </c>
      <c r="B33" s="85">
        <v>243041230</v>
      </c>
      <c r="C33" s="85">
        <v>0</v>
      </c>
      <c r="D33" s="85">
        <v>243041230</v>
      </c>
      <c r="E33" s="85">
        <v>63692160</v>
      </c>
      <c r="F33" s="85">
        <v>63692160</v>
      </c>
      <c r="G33" s="85">
        <f t="shared" si="0"/>
        <v>179349070</v>
      </c>
    </row>
    <row r="34" spans="1:7" ht="15">
      <c r="A34" s="40" t="s">
        <v>461</v>
      </c>
      <c r="B34" s="85">
        <v>314230866</v>
      </c>
      <c r="C34" s="85">
        <v>224549.24</v>
      </c>
      <c r="D34" s="85">
        <v>314455415.24</v>
      </c>
      <c r="E34" s="85">
        <v>78782258.22</v>
      </c>
      <c r="F34" s="85">
        <v>78782258.22</v>
      </c>
      <c r="G34" s="85">
        <f t="shared" si="0"/>
        <v>235673157.02</v>
      </c>
    </row>
    <row r="35" spans="1:7" ht="15">
      <c r="A35" s="40" t="s">
        <v>462</v>
      </c>
      <c r="B35" s="85">
        <v>257727076</v>
      </c>
      <c r="C35" s="85">
        <v>11662004</v>
      </c>
      <c r="D35" s="85">
        <v>269389080</v>
      </c>
      <c r="E35" s="85">
        <v>59865940</v>
      </c>
      <c r="F35" s="85">
        <v>59865940</v>
      </c>
      <c r="G35" s="85">
        <f t="shared" si="0"/>
        <v>209523140</v>
      </c>
    </row>
    <row r="36" spans="1:7" ht="15">
      <c r="A36" s="40" t="s">
        <v>463</v>
      </c>
      <c r="B36" s="85">
        <v>2308377618</v>
      </c>
      <c r="C36" s="85">
        <v>81113877.85</v>
      </c>
      <c r="D36" s="85">
        <v>2389491495.85</v>
      </c>
      <c r="E36" s="85">
        <v>575666596.97</v>
      </c>
      <c r="F36" s="85">
        <v>574368065.36</v>
      </c>
      <c r="G36" s="85">
        <f t="shared" si="0"/>
        <v>1813824898.8799999</v>
      </c>
    </row>
    <row r="37" spans="1:7" ht="15">
      <c r="A37" s="40" t="s">
        <v>464</v>
      </c>
      <c r="B37" s="85">
        <v>67296000</v>
      </c>
      <c r="C37" s="85">
        <v>22400000</v>
      </c>
      <c r="D37" s="85">
        <v>89696000</v>
      </c>
      <c r="E37" s="85">
        <v>5535167</v>
      </c>
      <c r="F37" s="85">
        <v>5535167</v>
      </c>
      <c r="G37" s="85">
        <f t="shared" si="0"/>
        <v>84160833</v>
      </c>
    </row>
    <row r="38" spans="1:7" ht="15">
      <c r="A38" s="40" t="s">
        <v>465</v>
      </c>
      <c r="B38" s="85">
        <v>2782282984</v>
      </c>
      <c r="C38" s="85">
        <v>48669101.48</v>
      </c>
      <c r="D38" s="85">
        <v>2830952085.48</v>
      </c>
      <c r="E38" s="85">
        <v>691119507.39</v>
      </c>
      <c r="F38" s="85">
        <v>691119507.39</v>
      </c>
      <c r="G38" s="85">
        <f t="shared" si="0"/>
        <v>2139832578.0900002</v>
      </c>
    </row>
    <row r="39" spans="1:7" ht="15">
      <c r="A39" s="41" t="s">
        <v>146</v>
      </c>
      <c r="B39" s="86"/>
      <c r="C39" s="86"/>
      <c r="D39" s="86"/>
      <c r="E39" s="86"/>
      <c r="F39" s="86"/>
      <c r="G39" s="86"/>
    </row>
    <row r="40" spans="1:7" ht="15">
      <c r="A40" s="23" t="s">
        <v>380</v>
      </c>
      <c r="B40" s="87">
        <f>SUM(B41:cbvbcvbcv)</f>
        <v>11110212505</v>
      </c>
      <c r="C40" s="87">
        <f>SUM(C41:GASTO_E_FIN_02)</f>
        <v>665890470.03</v>
      </c>
      <c r="D40" s="87">
        <f>SUM(D41:cvbcvbcbv)</f>
        <v>11776102975.03</v>
      </c>
      <c r="E40" s="87">
        <f>SUM(E41:GASTO_E_FIN_04)</f>
        <v>2951703971.6800003</v>
      </c>
      <c r="F40" s="87">
        <f>SUM(F41:GASTO_E_FIN_05)</f>
        <v>2619282558.62</v>
      </c>
      <c r="G40" s="87">
        <f>SUM(G41:GASTO_E_FIN_06)</f>
        <v>8824399003.349998</v>
      </c>
    </row>
    <row r="41" spans="1:7" ht="15">
      <c r="A41" s="40" t="s">
        <v>439</v>
      </c>
      <c r="B41" s="85">
        <v>87423249</v>
      </c>
      <c r="C41" s="85">
        <v>-2127508.76</v>
      </c>
      <c r="D41" s="85">
        <v>85295740.24</v>
      </c>
      <c r="E41" s="85">
        <v>903425.98</v>
      </c>
      <c r="F41" s="85">
        <v>903425.98</v>
      </c>
      <c r="G41" s="85">
        <f aca="true" t="shared" si="1" ref="G41:G46">D41-E41</f>
        <v>84392314.25999999</v>
      </c>
    </row>
    <row r="42" spans="1:7" ht="15">
      <c r="A42" s="40" t="s">
        <v>440</v>
      </c>
      <c r="B42" s="85">
        <v>20000000</v>
      </c>
      <c r="C42" s="85">
        <v>0</v>
      </c>
      <c r="D42" s="85">
        <v>20000000</v>
      </c>
      <c r="E42" s="85">
        <v>0</v>
      </c>
      <c r="F42" s="85">
        <v>0</v>
      </c>
      <c r="G42" s="85">
        <f t="shared" si="1"/>
        <v>20000000</v>
      </c>
    </row>
    <row r="43" spans="1:7" ht="15">
      <c r="A43" s="40" t="s">
        <v>444</v>
      </c>
      <c r="B43" s="85">
        <v>4727004857</v>
      </c>
      <c r="C43" s="85">
        <v>71773264.87</v>
      </c>
      <c r="D43" s="85">
        <v>4798778121.87</v>
      </c>
      <c r="E43" s="85">
        <v>1152842232.14</v>
      </c>
      <c r="F43" s="85">
        <v>1152842232.14</v>
      </c>
      <c r="G43" s="85">
        <f t="shared" si="1"/>
        <v>3645935889.7299995</v>
      </c>
    </row>
    <row r="44" spans="1:7" ht="15">
      <c r="A44" s="40" t="s">
        <v>445</v>
      </c>
      <c r="B44" s="85">
        <v>0</v>
      </c>
      <c r="C44" s="85">
        <v>534718.75</v>
      </c>
      <c r="D44" s="85">
        <v>534718.75</v>
      </c>
      <c r="E44" s="85">
        <v>534718.75</v>
      </c>
      <c r="F44" s="85">
        <v>534718.75</v>
      </c>
      <c r="G44" s="85">
        <f t="shared" si="1"/>
        <v>0</v>
      </c>
    </row>
    <row r="45" spans="1:7" ht="15">
      <c r="A45" s="40" t="s">
        <v>447</v>
      </c>
      <c r="B45" s="85">
        <v>48919519</v>
      </c>
      <c r="C45" s="85">
        <v>0</v>
      </c>
      <c r="D45" s="85">
        <v>48919519</v>
      </c>
      <c r="E45" s="85">
        <v>0</v>
      </c>
      <c r="F45" s="85">
        <v>0</v>
      </c>
      <c r="G45" s="85">
        <f t="shared" si="1"/>
        <v>48919519</v>
      </c>
    </row>
    <row r="46" spans="1:7" ht="15">
      <c r="A46" s="40" t="s">
        <v>450</v>
      </c>
      <c r="B46" s="85">
        <v>19329439</v>
      </c>
      <c r="C46" s="85">
        <v>0</v>
      </c>
      <c r="D46" s="85">
        <v>19329439</v>
      </c>
      <c r="E46" s="85">
        <v>0</v>
      </c>
      <c r="F46" s="85">
        <v>0</v>
      </c>
      <c r="G46" s="85">
        <f t="shared" si="1"/>
        <v>19329439</v>
      </c>
    </row>
    <row r="47" spans="1:7" ht="30">
      <c r="A47" s="82" t="s">
        <v>484</v>
      </c>
      <c r="B47" s="85">
        <v>2500000</v>
      </c>
      <c r="C47" s="85">
        <v>14000000</v>
      </c>
      <c r="D47" s="85">
        <v>16500000</v>
      </c>
      <c r="E47" s="85">
        <v>0</v>
      </c>
      <c r="F47" s="85">
        <v>0</v>
      </c>
      <c r="G47" s="85">
        <f aca="true" t="shared" si="2" ref="G47:G54">D47-E47</f>
        <v>16500000</v>
      </c>
    </row>
    <row r="48" spans="1:7" ht="30">
      <c r="A48" s="82" t="s">
        <v>452</v>
      </c>
      <c r="B48" s="85">
        <v>415788800</v>
      </c>
      <c r="C48" s="85">
        <v>337213123.2</v>
      </c>
      <c r="D48" s="85">
        <v>753001923.2</v>
      </c>
      <c r="E48" s="85">
        <v>340342145.89</v>
      </c>
      <c r="F48" s="85">
        <v>7920732.83</v>
      </c>
      <c r="G48" s="85">
        <f t="shared" si="2"/>
        <v>412659777.31000006</v>
      </c>
    </row>
    <row r="49" spans="1:7" ht="15">
      <c r="A49" s="40" t="s">
        <v>455</v>
      </c>
      <c r="B49" s="85">
        <v>55225847</v>
      </c>
      <c r="C49" s="85">
        <v>17152073.05</v>
      </c>
      <c r="D49" s="85">
        <v>72377920.05</v>
      </c>
      <c r="E49" s="85">
        <v>5807064.04</v>
      </c>
      <c r="F49" s="85">
        <v>5807064.04</v>
      </c>
      <c r="G49" s="85">
        <f t="shared" si="2"/>
        <v>66570856.01</v>
      </c>
    </row>
    <row r="50" spans="1:7" ht="15">
      <c r="A50" s="40" t="s">
        <v>456</v>
      </c>
      <c r="B50" s="85">
        <v>0</v>
      </c>
      <c r="C50" s="85">
        <v>19200000</v>
      </c>
      <c r="D50" s="85">
        <v>19200000</v>
      </c>
      <c r="E50" s="85">
        <v>0</v>
      </c>
      <c r="F50" s="85">
        <v>0</v>
      </c>
      <c r="G50" s="85">
        <f t="shared" si="2"/>
        <v>19200000</v>
      </c>
    </row>
    <row r="51" spans="1:7" ht="15">
      <c r="A51" s="40" t="s">
        <v>458</v>
      </c>
      <c r="B51" s="85">
        <v>32009400</v>
      </c>
      <c r="C51" s="85">
        <v>7328201.01</v>
      </c>
      <c r="D51" s="85">
        <v>39337601.01</v>
      </c>
      <c r="E51" s="85">
        <v>4585917.01</v>
      </c>
      <c r="F51" s="85">
        <v>4585917.01</v>
      </c>
      <c r="G51" s="85">
        <f t="shared" si="2"/>
        <v>34751684</v>
      </c>
    </row>
    <row r="52" spans="1:7" ht="15">
      <c r="A52" s="40" t="s">
        <v>461</v>
      </c>
      <c r="B52" s="85">
        <v>0</v>
      </c>
      <c r="C52" s="85">
        <v>357913.52</v>
      </c>
      <c r="D52" s="85">
        <v>357913.52</v>
      </c>
      <c r="E52" s="85">
        <v>357913.52</v>
      </c>
      <c r="F52" s="85">
        <v>357913.52</v>
      </c>
      <c r="G52" s="85">
        <f t="shared" si="2"/>
        <v>0</v>
      </c>
    </row>
    <row r="53" spans="1:7" ht="15">
      <c r="A53" s="40" t="s">
        <v>463</v>
      </c>
      <c r="B53" s="85">
        <v>4132871496</v>
      </c>
      <c r="C53" s="85">
        <v>189314323.12</v>
      </c>
      <c r="D53" s="85">
        <v>4322185819.12</v>
      </c>
      <c r="E53" s="85">
        <v>1016712193.41</v>
      </c>
      <c r="F53" s="85">
        <v>1016712193.41</v>
      </c>
      <c r="G53" s="85">
        <f t="shared" si="2"/>
        <v>3305473625.71</v>
      </c>
    </row>
    <row r="54" spans="1:7" ht="15">
      <c r="A54" s="40" t="s">
        <v>465</v>
      </c>
      <c r="B54" s="85">
        <v>1569139898</v>
      </c>
      <c r="C54" s="85">
        <v>11144361.27</v>
      </c>
      <c r="D54" s="85">
        <v>1580284259.27</v>
      </c>
      <c r="E54" s="85">
        <v>429618360.94</v>
      </c>
      <c r="F54" s="85">
        <v>429618360.94</v>
      </c>
      <c r="G54" s="85">
        <f t="shared" si="2"/>
        <v>1150665898.33</v>
      </c>
    </row>
    <row r="55" spans="1:7" ht="15">
      <c r="A55" s="41" t="s">
        <v>146</v>
      </c>
      <c r="B55" s="29"/>
      <c r="C55" s="29"/>
      <c r="D55" s="29"/>
      <c r="E55" s="29"/>
      <c r="F55" s="29"/>
      <c r="G55" s="29"/>
    </row>
    <row r="56" spans="1:7" ht="15">
      <c r="A56" s="23" t="s">
        <v>376</v>
      </c>
      <c r="B56" s="87">
        <f>GASTO_NE_T1+vcvcbvcbcvb</f>
        <v>21982741867</v>
      </c>
      <c r="C56" s="87">
        <f>cvbvcbcbvbc+cvbcbvbcvbvc</f>
        <v>1700012786.25</v>
      </c>
      <c r="D56" s="87">
        <f>vcbvbcbdfgfdg+GASTO_E_T3</f>
        <v>23682754653.25</v>
      </c>
      <c r="E56" s="87">
        <f>GASTO_NE_T4+GASTO_E_T4</f>
        <v>5447037202.2300005</v>
      </c>
      <c r="F56" s="87">
        <f>GASTO_NE_T5+GASTO_E_T5</f>
        <v>5103243225.389999</v>
      </c>
      <c r="G56" s="87">
        <f>GASTO_NE_T6+GASTO_E_T6</f>
        <v>18235717451.02</v>
      </c>
    </row>
    <row r="57" spans="1:7" ht="15">
      <c r="A57" s="35"/>
      <c r="B57" s="121"/>
      <c r="C57" s="121"/>
      <c r="D57" s="121"/>
      <c r="E57" s="121"/>
      <c r="F57" s="121"/>
      <c r="G57" s="121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/>
    <row r="74" ht="15" hidden="1"/>
    <row r="75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6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9:F9 B40:F40 B56:G56 G9:G38 G47:G53 G40:G42 G43:G46 G5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5" sqref="A5:G5"/>
    </sheetView>
  </sheetViews>
  <sheetFormatPr defaultColWidth="0" defaultRowHeight="15" zeroHeight="1"/>
  <cols>
    <col min="1" max="1" width="74.57421875" style="39" customWidth="1"/>
    <col min="2" max="6" width="20.7109375" style="39" customWidth="1"/>
    <col min="7" max="7" width="17.8515625" style="39" bestFit="1" customWidth="1"/>
    <col min="8" max="16384" width="11.421875" style="0" hidden="1" customWidth="1"/>
  </cols>
  <sheetData>
    <row r="1" spans="1:7" ht="21">
      <c r="A1" s="151" t="s">
        <v>381</v>
      </c>
      <c r="B1" s="152"/>
      <c r="C1" s="152"/>
      <c r="D1" s="152"/>
      <c r="E1" s="152"/>
      <c r="F1" s="152"/>
      <c r="G1" s="152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382</v>
      </c>
      <c r="B3" s="130"/>
      <c r="C3" s="130"/>
      <c r="D3" s="130"/>
      <c r="E3" s="130"/>
      <c r="F3" s="130"/>
      <c r="G3" s="131"/>
    </row>
    <row r="4" spans="1:7" ht="15">
      <c r="A4" s="129" t="s">
        <v>383</v>
      </c>
      <c r="B4" s="130"/>
      <c r="C4" s="130"/>
      <c r="D4" s="130"/>
      <c r="E4" s="130"/>
      <c r="F4" s="130"/>
      <c r="G4" s="131"/>
    </row>
    <row r="5" spans="1:7" ht="15">
      <c r="A5" s="132" t="s">
        <v>483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30" t="s">
        <v>4</v>
      </c>
      <c r="B7" s="135" t="s">
        <v>295</v>
      </c>
      <c r="C7" s="136"/>
      <c r="D7" s="136"/>
      <c r="E7" s="136"/>
      <c r="F7" s="137"/>
      <c r="G7" s="147" t="s">
        <v>384</v>
      </c>
    </row>
    <row r="8" spans="1:7" ht="30">
      <c r="A8" s="130"/>
      <c r="B8" s="18" t="s">
        <v>297</v>
      </c>
      <c r="C8" s="6" t="s">
        <v>385</v>
      </c>
      <c r="D8" s="18" t="s">
        <v>299</v>
      </c>
      <c r="E8" s="18" t="s">
        <v>182</v>
      </c>
      <c r="F8" s="30" t="s">
        <v>199</v>
      </c>
      <c r="G8" s="146"/>
    </row>
    <row r="9" spans="1:7" ht="15">
      <c r="A9" s="19" t="s">
        <v>386</v>
      </c>
      <c r="B9" s="107">
        <f aca="true" t="shared" si="0" ref="B9:G9">SUM(B10,B19,B27,B37)</f>
        <v>10872529362</v>
      </c>
      <c r="C9" s="107">
        <f t="shared" si="0"/>
        <v>1034122316.2200001</v>
      </c>
      <c r="D9" s="107">
        <f t="shared" si="0"/>
        <v>11906651678.22</v>
      </c>
      <c r="E9" s="107">
        <f t="shared" si="0"/>
        <v>2495333230.5499997</v>
      </c>
      <c r="F9" s="107">
        <f t="shared" si="0"/>
        <v>2483960666.77</v>
      </c>
      <c r="G9" s="107">
        <f t="shared" si="0"/>
        <v>9411318447.67</v>
      </c>
    </row>
    <row r="10" spans="1:7" ht="15">
      <c r="A10" s="20" t="s">
        <v>387</v>
      </c>
      <c r="B10" s="108">
        <f aca="true" t="shared" si="1" ref="B10:G10">SUM(B11:B18)</f>
        <v>3387545399</v>
      </c>
      <c r="C10" s="108">
        <f t="shared" si="1"/>
        <v>48424843.69</v>
      </c>
      <c r="D10" s="108">
        <f t="shared" si="1"/>
        <v>3435970242.69</v>
      </c>
      <c r="E10" s="108">
        <f t="shared" si="1"/>
        <v>685334449.37</v>
      </c>
      <c r="F10" s="108">
        <f t="shared" si="1"/>
        <v>681925019.73</v>
      </c>
      <c r="G10" s="108">
        <f t="shared" si="1"/>
        <v>2750635793.32</v>
      </c>
    </row>
    <row r="11" spans="1:7" ht="15">
      <c r="A11" s="21" t="s">
        <v>388</v>
      </c>
      <c r="B11" s="108">
        <v>243041230</v>
      </c>
      <c r="C11" s="108">
        <v>0</v>
      </c>
      <c r="D11" s="108">
        <v>243041230</v>
      </c>
      <c r="E11" s="108">
        <v>63692160</v>
      </c>
      <c r="F11" s="108">
        <v>63692160</v>
      </c>
      <c r="G11" s="108">
        <f>D11-E11</f>
        <v>179349070</v>
      </c>
    </row>
    <row r="12" spans="1:7" ht="15">
      <c r="A12" s="21" t="s">
        <v>389</v>
      </c>
      <c r="B12" s="108">
        <v>952367359</v>
      </c>
      <c r="C12" s="108">
        <v>1654390.76</v>
      </c>
      <c r="D12" s="108">
        <v>954021749.76</v>
      </c>
      <c r="E12" s="108">
        <v>210964781.42</v>
      </c>
      <c r="F12" s="108">
        <v>209719431.8</v>
      </c>
      <c r="G12" s="108">
        <f aca="true" t="shared" si="2" ref="G12:G18">D12-E12</f>
        <v>743056968.34</v>
      </c>
    </row>
    <row r="13" spans="1:7" ht="15">
      <c r="A13" s="21" t="s">
        <v>390</v>
      </c>
      <c r="B13" s="108">
        <v>716995891</v>
      </c>
      <c r="C13" s="108">
        <v>42823805.49</v>
      </c>
      <c r="D13" s="108">
        <v>759819696.49</v>
      </c>
      <c r="E13" s="108">
        <v>145154248.65</v>
      </c>
      <c r="F13" s="108">
        <v>144674296.39</v>
      </c>
      <c r="G13" s="108">
        <f t="shared" si="2"/>
        <v>614665447.84</v>
      </c>
    </row>
    <row r="14" spans="1:7" ht="15">
      <c r="A14" s="21" t="s">
        <v>391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f t="shared" si="2"/>
        <v>0</v>
      </c>
    </row>
    <row r="15" spans="1:7" ht="15">
      <c r="A15" s="21" t="s">
        <v>392</v>
      </c>
      <c r="B15" s="108">
        <v>375543907</v>
      </c>
      <c r="C15" s="108">
        <v>1791912.11</v>
      </c>
      <c r="D15" s="108">
        <v>377335819.11</v>
      </c>
      <c r="E15" s="108">
        <v>41687574.59</v>
      </c>
      <c r="F15" s="108">
        <v>41316530.2</v>
      </c>
      <c r="G15" s="108">
        <f t="shared" si="2"/>
        <v>335648244.52</v>
      </c>
    </row>
    <row r="16" spans="1:7" ht="15">
      <c r="A16" s="21" t="s">
        <v>393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f t="shared" si="2"/>
        <v>0</v>
      </c>
    </row>
    <row r="17" spans="1:7" ht="15">
      <c r="A17" s="21" t="s">
        <v>394</v>
      </c>
      <c r="B17" s="108">
        <v>786471881</v>
      </c>
      <c r="C17" s="108">
        <v>-4244631.67</v>
      </c>
      <c r="D17" s="108">
        <v>782227249.33</v>
      </c>
      <c r="E17" s="108">
        <v>163836955.26</v>
      </c>
      <c r="F17" s="108">
        <v>162841809.01</v>
      </c>
      <c r="G17" s="108">
        <f t="shared" si="2"/>
        <v>618390294.07</v>
      </c>
    </row>
    <row r="18" spans="1:7" ht="15">
      <c r="A18" s="21" t="s">
        <v>395</v>
      </c>
      <c r="B18" s="108">
        <v>313125131</v>
      </c>
      <c r="C18" s="108">
        <v>6399367</v>
      </c>
      <c r="D18" s="108">
        <v>319524498</v>
      </c>
      <c r="E18" s="108">
        <v>59998729.45</v>
      </c>
      <c r="F18" s="108">
        <v>59680792.33</v>
      </c>
      <c r="G18" s="108">
        <f t="shared" si="2"/>
        <v>259525768.55</v>
      </c>
    </row>
    <row r="19" spans="1:7" ht="15">
      <c r="A19" s="20" t="s">
        <v>396</v>
      </c>
      <c r="B19" s="108">
        <f aca="true" t="shared" si="3" ref="B19:G19">SUM(B20:B26)</f>
        <v>3788205382</v>
      </c>
      <c r="C19" s="108">
        <f t="shared" si="3"/>
        <v>787469153.1700001</v>
      </c>
      <c r="D19" s="108">
        <f t="shared" si="3"/>
        <v>4575674535.17</v>
      </c>
      <c r="E19" s="108">
        <f t="shared" si="3"/>
        <v>910647630</v>
      </c>
      <c r="F19" s="108">
        <f t="shared" si="3"/>
        <v>908307855.71</v>
      </c>
      <c r="G19" s="108">
        <f t="shared" si="3"/>
        <v>3665026905.17</v>
      </c>
    </row>
    <row r="20" spans="1:7" ht="15">
      <c r="A20" s="21" t="s">
        <v>397</v>
      </c>
      <c r="B20" s="108">
        <v>58455818</v>
      </c>
      <c r="C20" s="108">
        <v>-245861.19</v>
      </c>
      <c r="D20" s="108">
        <v>58209956.81</v>
      </c>
      <c r="E20" s="108">
        <v>12763640.68</v>
      </c>
      <c r="F20" s="108">
        <v>12719563.97</v>
      </c>
      <c r="G20" s="108">
        <f>D20-E20</f>
        <v>45446316.13</v>
      </c>
    </row>
    <row r="21" spans="1:7" ht="15">
      <c r="A21" s="21" t="s">
        <v>398</v>
      </c>
      <c r="B21" s="108">
        <v>238840709</v>
      </c>
      <c r="C21" s="108">
        <v>652823551.59</v>
      </c>
      <c r="D21" s="108">
        <v>891664260.59</v>
      </c>
      <c r="E21" s="108">
        <v>120767140.78</v>
      </c>
      <c r="F21" s="108">
        <v>120681119.67</v>
      </c>
      <c r="G21" s="108">
        <f aca="true" t="shared" si="4" ref="G21:G26">D21-E21</f>
        <v>770897119.8100001</v>
      </c>
    </row>
    <row r="22" spans="1:7" ht="15">
      <c r="A22" s="21" t="s">
        <v>399</v>
      </c>
      <c r="B22" s="108">
        <v>647377788</v>
      </c>
      <c r="C22" s="108">
        <v>44263587.81</v>
      </c>
      <c r="D22" s="108">
        <v>691641375.81</v>
      </c>
      <c r="E22" s="108">
        <v>170835436.9</v>
      </c>
      <c r="F22" s="108">
        <v>170130490.51</v>
      </c>
      <c r="G22" s="108">
        <f t="shared" si="4"/>
        <v>520805938.90999997</v>
      </c>
    </row>
    <row r="23" spans="1:7" ht="15">
      <c r="A23" s="21" t="s">
        <v>400</v>
      </c>
      <c r="B23" s="108">
        <v>343513194</v>
      </c>
      <c r="C23" s="108">
        <v>80184598.58</v>
      </c>
      <c r="D23" s="108">
        <v>423697792.58</v>
      </c>
      <c r="E23" s="108">
        <v>98678027.3</v>
      </c>
      <c r="F23" s="108">
        <v>98471750.21</v>
      </c>
      <c r="G23" s="108">
        <f t="shared" si="4"/>
        <v>325019765.28</v>
      </c>
    </row>
    <row r="24" spans="1:7" ht="15">
      <c r="A24" s="21" t="s">
        <v>401</v>
      </c>
      <c r="B24" s="108">
        <v>1943985570</v>
      </c>
      <c r="C24" s="108">
        <v>11896988.65</v>
      </c>
      <c r="D24" s="108">
        <v>1955882558.65</v>
      </c>
      <c r="E24" s="108">
        <v>398923461.43</v>
      </c>
      <c r="F24" s="108">
        <v>397798837.92</v>
      </c>
      <c r="G24" s="108">
        <f t="shared" si="4"/>
        <v>1556959097.22</v>
      </c>
    </row>
    <row r="25" spans="1:7" ht="15">
      <c r="A25" s="21" t="s">
        <v>402</v>
      </c>
      <c r="B25" s="108">
        <v>370908318</v>
      </c>
      <c r="C25" s="108">
        <v>0</v>
      </c>
      <c r="D25" s="108">
        <v>370908318</v>
      </c>
      <c r="E25" s="108">
        <v>87421940.1</v>
      </c>
      <c r="F25" s="108">
        <v>87421940.1</v>
      </c>
      <c r="G25" s="108">
        <f t="shared" si="4"/>
        <v>283486377.9</v>
      </c>
    </row>
    <row r="26" spans="1:7" ht="15">
      <c r="A26" s="21" t="s">
        <v>403</v>
      </c>
      <c r="B26" s="108">
        <v>185123985</v>
      </c>
      <c r="C26" s="108">
        <v>-1453712.27</v>
      </c>
      <c r="D26" s="108">
        <v>183670272.73</v>
      </c>
      <c r="E26" s="108">
        <v>21257982.81</v>
      </c>
      <c r="F26" s="108">
        <v>21084153.33</v>
      </c>
      <c r="G26" s="108">
        <f t="shared" si="4"/>
        <v>162412289.92</v>
      </c>
    </row>
    <row r="27" spans="1:7" ht="15">
      <c r="A27" s="20" t="s">
        <v>404</v>
      </c>
      <c r="B27" s="108">
        <f aca="true" t="shared" si="5" ref="B27:G27">SUM(B28:B36)</f>
        <v>561558537</v>
      </c>
      <c r="C27" s="108">
        <f t="shared" si="5"/>
        <v>158297409.38</v>
      </c>
      <c r="D27" s="108">
        <f t="shared" si="5"/>
        <v>719855946.38</v>
      </c>
      <c r="E27" s="108">
        <f t="shared" si="5"/>
        <v>142206185.08999997</v>
      </c>
      <c r="F27" s="108">
        <f t="shared" si="5"/>
        <v>136582825.23999998</v>
      </c>
      <c r="G27" s="108">
        <f t="shared" si="5"/>
        <v>577649761.2900001</v>
      </c>
    </row>
    <row r="28" spans="1:7" ht="15">
      <c r="A28" s="37" t="s">
        <v>405</v>
      </c>
      <c r="B28" s="108">
        <v>104030396</v>
      </c>
      <c r="C28" s="108">
        <v>5360995.83</v>
      </c>
      <c r="D28" s="108">
        <v>109391391.83</v>
      </c>
      <c r="E28" s="108">
        <v>18611147.8</v>
      </c>
      <c r="F28" s="108">
        <v>18504544.79</v>
      </c>
      <c r="G28" s="108">
        <f>D28-E28</f>
        <v>90780244.03</v>
      </c>
    </row>
    <row r="29" spans="1:7" ht="15">
      <c r="A29" s="21" t="s">
        <v>406</v>
      </c>
      <c r="B29" s="108">
        <v>230478441</v>
      </c>
      <c r="C29" s="108">
        <v>43710957.18</v>
      </c>
      <c r="D29" s="108">
        <v>274189398.18</v>
      </c>
      <c r="E29" s="108">
        <v>72031832.66</v>
      </c>
      <c r="F29" s="108">
        <v>68566972.41</v>
      </c>
      <c r="G29" s="108">
        <f aca="true" t="shared" si="6" ref="G29:G36">D29-E29</f>
        <v>202157565.52</v>
      </c>
    </row>
    <row r="30" spans="1:7" ht="15">
      <c r="A30" s="21" t="s">
        <v>407</v>
      </c>
      <c r="B30" s="108">
        <v>14471283</v>
      </c>
      <c r="C30" s="108">
        <v>-41709.05</v>
      </c>
      <c r="D30" s="108">
        <v>14429573.95</v>
      </c>
      <c r="E30" s="108">
        <v>2775165.22</v>
      </c>
      <c r="F30" s="108">
        <v>2753943.76</v>
      </c>
      <c r="G30" s="108">
        <f t="shared" si="6"/>
        <v>11654408.729999999</v>
      </c>
    </row>
    <row r="31" spans="1:7" ht="15">
      <c r="A31" s="21" t="s">
        <v>408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f t="shared" si="6"/>
        <v>0</v>
      </c>
    </row>
    <row r="32" spans="1:7" ht="15">
      <c r="A32" s="21" t="s">
        <v>409</v>
      </c>
      <c r="B32" s="108">
        <v>8690150</v>
      </c>
      <c r="C32" s="108">
        <v>3544441.24</v>
      </c>
      <c r="D32" s="108">
        <v>12234591.24</v>
      </c>
      <c r="E32" s="108">
        <v>5183855.44</v>
      </c>
      <c r="F32" s="108">
        <v>5170691.49</v>
      </c>
      <c r="G32" s="108">
        <f t="shared" si="6"/>
        <v>7050735.8</v>
      </c>
    </row>
    <row r="33" spans="1:7" ht="15">
      <c r="A33" s="21" t="s">
        <v>410</v>
      </c>
      <c r="B33" s="108">
        <v>115829857</v>
      </c>
      <c r="C33" s="108">
        <v>99046799.08</v>
      </c>
      <c r="D33" s="108">
        <v>214876656.08</v>
      </c>
      <c r="E33" s="108">
        <v>20346608.68</v>
      </c>
      <c r="F33" s="108">
        <v>20232846.37</v>
      </c>
      <c r="G33" s="108">
        <f t="shared" si="6"/>
        <v>194530047.4</v>
      </c>
    </row>
    <row r="34" spans="1:7" ht="15">
      <c r="A34" s="21" t="s">
        <v>411</v>
      </c>
      <c r="B34" s="108">
        <v>71454954</v>
      </c>
      <c r="C34" s="108">
        <v>6679325.1</v>
      </c>
      <c r="D34" s="108">
        <v>78134279.1</v>
      </c>
      <c r="E34" s="108">
        <v>19964339.34</v>
      </c>
      <c r="F34" s="108">
        <v>18088567.1</v>
      </c>
      <c r="G34" s="108">
        <f t="shared" si="6"/>
        <v>58169939.75999999</v>
      </c>
    </row>
    <row r="35" spans="1:7" ht="15">
      <c r="A35" s="21" t="s">
        <v>412</v>
      </c>
      <c r="B35" s="108">
        <v>1720150</v>
      </c>
      <c r="C35" s="108">
        <v>-3400</v>
      </c>
      <c r="D35" s="108">
        <v>1716750</v>
      </c>
      <c r="E35" s="108">
        <v>364555.53</v>
      </c>
      <c r="F35" s="108">
        <v>361709.23</v>
      </c>
      <c r="G35" s="108">
        <f t="shared" si="6"/>
        <v>1352194.47</v>
      </c>
    </row>
    <row r="36" spans="1:7" ht="15">
      <c r="A36" s="21" t="s">
        <v>413</v>
      </c>
      <c r="B36" s="108">
        <v>14883306</v>
      </c>
      <c r="C36" s="108">
        <v>0</v>
      </c>
      <c r="D36" s="108">
        <v>14883306</v>
      </c>
      <c r="E36" s="108">
        <v>2928680.42</v>
      </c>
      <c r="F36" s="108">
        <v>2903550.09</v>
      </c>
      <c r="G36" s="108">
        <f t="shared" si="6"/>
        <v>11954625.58</v>
      </c>
    </row>
    <row r="37" spans="1:7" ht="30">
      <c r="A37" s="33" t="s">
        <v>414</v>
      </c>
      <c r="B37" s="108">
        <f aca="true" t="shared" si="7" ref="B37:G37">SUM(B38:B41)</f>
        <v>3135220044</v>
      </c>
      <c r="C37" s="108">
        <f t="shared" si="7"/>
        <v>39930909.98</v>
      </c>
      <c r="D37" s="108">
        <f t="shared" si="7"/>
        <v>3175150953.98</v>
      </c>
      <c r="E37" s="108">
        <f t="shared" si="7"/>
        <v>757144966.09</v>
      </c>
      <c r="F37" s="108">
        <f t="shared" si="7"/>
        <v>757144966.09</v>
      </c>
      <c r="G37" s="108">
        <f t="shared" si="7"/>
        <v>2418005987.8900003</v>
      </c>
    </row>
    <row r="38" spans="1:7" ht="15">
      <c r="A38" s="37" t="s">
        <v>415</v>
      </c>
      <c r="B38" s="108">
        <v>306407168</v>
      </c>
      <c r="C38" s="108">
        <v>0</v>
      </c>
      <c r="D38" s="108">
        <v>306407168</v>
      </c>
      <c r="E38" s="108">
        <v>66025458.7</v>
      </c>
      <c r="F38" s="108">
        <v>66025458.7</v>
      </c>
      <c r="G38" s="108">
        <f>D38-E38</f>
        <v>240381709.3</v>
      </c>
    </row>
    <row r="39" spans="1:7" ht="30">
      <c r="A39" s="37" t="s">
        <v>416</v>
      </c>
      <c r="B39" s="108">
        <v>2782282984</v>
      </c>
      <c r="C39" s="108">
        <v>48669037.65</v>
      </c>
      <c r="D39" s="108">
        <v>2830952021.65</v>
      </c>
      <c r="E39" s="108">
        <v>691119507.39</v>
      </c>
      <c r="F39" s="108">
        <v>691119507.39</v>
      </c>
      <c r="G39" s="108">
        <f>D39-E39</f>
        <v>2139832514.2600002</v>
      </c>
    </row>
    <row r="40" spans="1:7" ht="15">
      <c r="A40" s="37" t="s">
        <v>417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f>D40-E40</f>
        <v>0</v>
      </c>
    </row>
    <row r="41" spans="1:7" ht="15">
      <c r="A41" s="37" t="s">
        <v>418</v>
      </c>
      <c r="B41" s="108">
        <v>46529892</v>
      </c>
      <c r="C41" s="108">
        <v>-8738127.67</v>
      </c>
      <c r="D41" s="108">
        <v>37791764.33</v>
      </c>
      <c r="E41" s="108">
        <v>0</v>
      </c>
      <c r="F41" s="108">
        <v>0</v>
      </c>
      <c r="G41" s="108">
        <f>D41-E41</f>
        <v>37791764.33</v>
      </c>
    </row>
    <row r="42" spans="1:7" ht="15">
      <c r="A42" s="37"/>
      <c r="B42" s="108"/>
      <c r="C42" s="108"/>
      <c r="D42" s="108"/>
      <c r="E42" s="108"/>
      <c r="F42" s="108"/>
      <c r="G42" s="108"/>
    </row>
    <row r="43" spans="1:7" ht="15">
      <c r="A43" s="23" t="s">
        <v>419</v>
      </c>
      <c r="B43" s="109">
        <f aca="true" t="shared" si="8" ref="B43:G43">SUM(B44,B53,B61,B71)</f>
        <v>11110212505</v>
      </c>
      <c r="C43" s="109">
        <f t="shared" si="8"/>
        <v>665890470.03</v>
      </c>
      <c r="D43" s="109">
        <f t="shared" si="8"/>
        <v>11776102975.03</v>
      </c>
      <c r="E43" s="109">
        <f t="shared" si="8"/>
        <v>2951703971.6800003</v>
      </c>
      <c r="F43" s="109">
        <f t="shared" si="8"/>
        <v>2619282558.6200004</v>
      </c>
      <c r="G43" s="109">
        <f t="shared" si="8"/>
        <v>8824399003.349998</v>
      </c>
    </row>
    <row r="44" spans="1:7" ht="15">
      <c r="A44" s="20" t="s">
        <v>420</v>
      </c>
      <c r="B44" s="108">
        <f aca="true" t="shared" si="9" ref="B44:G44">SUM(B45:B52)</f>
        <v>211615258</v>
      </c>
      <c r="C44" s="108">
        <f t="shared" si="9"/>
        <v>54955290.82</v>
      </c>
      <c r="D44" s="108">
        <f t="shared" si="9"/>
        <v>266570548.82</v>
      </c>
      <c r="E44" s="108">
        <f t="shared" si="9"/>
        <v>14054320.55</v>
      </c>
      <c r="F44" s="108">
        <f t="shared" si="9"/>
        <v>14054320.55</v>
      </c>
      <c r="G44" s="108">
        <f t="shared" si="9"/>
        <v>252516228.26999998</v>
      </c>
    </row>
    <row r="45" spans="1:7" ht="15">
      <c r="A45" s="37" t="s">
        <v>388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f>D45-E45</f>
        <v>0</v>
      </c>
    </row>
    <row r="46" spans="1:7" ht="15">
      <c r="A46" s="37" t="s">
        <v>389</v>
      </c>
      <c r="B46" s="108">
        <v>32009400</v>
      </c>
      <c r="C46" s="108">
        <v>10928314.53</v>
      </c>
      <c r="D46" s="108">
        <v>42937714.53</v>
      </c>
      <c r="E46" s="108">
        <v>4943830.53</v>
      </c>
      <c r="F46" s="108">
        <v>4943830.53</v>
      </c>
      <c r="G46" s="108">
        <f aca="true" t="shared" si="10" ref="G46:G52">D46-E46</f>
        <v>37993884</v>
      </c>
    </row>
    <row r="47" spans="1:7" ht="15">
      <c r="A47" s="37" t="s">
        <v>390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f t="shared" si="10"/>
        <v>0</v>
      </c>
    </row>
    <row r="48" spans="1:7" ht="15">
      <c r="A48" s="37" t="s">
        <v>391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f t="shared" si="10"/>
        <v>0</v>
      </c>
    </row>
    <row r="49" spans="1:7" ht="15">
      <c r="A49" s="37" t="s">
        <v>392</v>
      </c>
      <c r="B49" s="108">
        <v>20000000</v>
      </c>
      <c r="C49" s="108">
        <v>0</v>
      </c>
      <c r="D49" s="108">
        <v>20000000</v>
      </c>
      <c r="E49" s="108">
        <v>0</v>
      </c>
      <c r="F49" s="108">
        <v>0</v>
      </c>
      <c r="G49" s="108">
        <f t="shared" si="10"/>
        <v>20000000</v>
      </c>
    </row>
    <row r="50" spans="1:7" ht="15">
      <c r="A50" s="37" t="s">
        <v>393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f t="shared" si="10"/>
        <v>0</v>
      </c>
    </row>
    <row r="51" spans="1:7" ht="15">
      <c r="A51" s="37" t="s">
        <v>394</v>
      </c>
      <c r="B51" s="108">
        <v>139649096</v>
      </c>
      <c r="C51" s="108">
        <v>44026976.29</v>
      </c>
      <c r="D51" s="108">
        <v>183676072.29</v>
      </c>
      <c r="E51" s="108">
        <v>9110490.02</v>
      </c>
      <c r="F51" s="108">
        <v>9110490.02</v>
      </c>
      <c r="G51" s="108">
        <f t="shared" si="10"/>
        <v>174565582.26999998</v>
      </c>
    </row>
    <row r="52" spans="1:7" ht="15">
      <c r="A52" s="37" t="s">
        <v>395</v>
      </c>
      <c r="B52" s="108">
        <v>19956762</v>
      </c>
      <c r="C52" s="108">
        <v>0</v>
      </c>
      <c r="D52" s="108">
        <v>19956762</v>
      </c>
      <c r="E52" s="108">
        <v>0</v>
      </c>
      <c r="F52" s="108">
        <v>0</v>
      </c>
      <c r="G52" s="108">
        <f t="shared" si="10"/>
        <v>19956762</v>
      </c>
    </row>
    <row r="53" spans="1:7" ht="15">
      <c r="A53" s="20" t="s">
        <v>396</v>
      </c>
      <c r="B53" s="108">
        <f aca="true" t="shared" si="11" ref="B53:G53">SUM(B54:B60)</f>
        <v>9307627910</v>
      </c>
      <c r="C53" s="108">
        <f t="shared" si="11"/>
        <v>270554181.94</v>
      </c>
      <c r="D53" s="108">
        <f t="shared" si="11"/>
        <v>9578182091.94</v>
      </c>
      <c r="E53" s="108">
        <f t="shared" si="11"/>
        <v>2178009877.13</v>
      </c>
      <c r="F53" s="108">
        <f t="shared" si="11"/>
        <v>2178009877.13</v>
      </c>
      <c r="G53" s="108">
        <f t="shared" si="11"/>
        <v>7400172214.809999</v>
      </c>
    </row>
    <row r="54" spans="1:7" ht="15">
      <c r="A54" s="37" t="s">
        <v>397</v>
      </c>
      <c r="B54" s="108">
        <v>81422830</v>
      </c>
      <c r="C54" s="108">
        <v>16500000</v>
      </c>
      <c r="D54" s="108">
        <v>97922830</v>
      </c>
      <c r="E54" s="108">
        <v>0</v>
      </c>
      <c r="F54" s="108">
        <v>0</v>
      </c>
      <c r="G54" s="108">
        <f>D54-E54</f>
        <v>97922830</v>
      </c>
    </row>
    <row r="55" spans="1:7" ht="15">
      <c r="A55" s="37" t="s">
        <v>398</v>
      </c>
      <c r="B55" s="108">
        <v>517368010</v>
      </c>
      <c r="C55" s="108">
        <v>-24516140.6</v>
      </c>
      <c r="D55" s="108">
        <v>492851869.4</v>
      </c>
      <c r="E55" s="108">
        <v>2728934.51</v>
      </c>
      <c r="F55" s="108">
        <v>2728934.51</v>
      </c>
      <c r="G55" s="108">
        <f aca="true" t="shared" si="12" ref="G55:G60">D55-E55</f>
        <v>490122934.89</v>
      </c>
    </row>
    <row r="56" spans="1:7" ht="15">
      <c r="A56" s="37" t="s">
        <v>399</v>
      </c>
      <c r="B56" s="108">
        <v>1703669006</v>
      </c>
      <c r="C56" s="108">
        <v>181424136.42</v>
      </c>
      <c r="D56" s="108">
        <v>1885093142.42</v>
      </c>
      <c r="E56" s="108">
        <v>588011048.3</v>
      </c>
      <c r="F56" s="108">
        <v>588011048.3</v>
      </c>
      <c r="G56" s="108">
        <f t="shared" si="12"/>
        <v>1297082094.1200001</v>
      </c>
    </row>
    <row r="57" spans="1:7" ht="15">
      <c r="A57" s="38" t="s">
        <v>400</v>
      </c>
      <c r="B57" s="108">
        <v>120000000</v>
      </c>
      <c r="C57" s="108">
        <v>-15607248.63</v>
      </c>
      <c r="D57" s="108">
        <v>104392751.37</v>
      </c>
      <c r="E57" s="108">
        <v>5836533.89</v>
      </c>
      <c r="F57" s="108">
        <v>5836533.89</v>
      </c>
      <c r="G57" s="108">
        <f t="shared" si="12"/>
        <v>98556217.48</v>
      </c>
    </row>
    <row r="58" spans="1:7" ht="15">
      <c r="A58" s="37" t="s">
        <v>401</v>
      </c>
      <c r="B58" s="108">
        <v>6385055702</v>
      </c>
      <c r="C58" s="108">
        <v>99362405.16</v>
      </c>
      <c r="D58" s="108">
        <v>6484418107.16</v>
      </c>
      <c r="E58" s="108">
        <v>1535734522.43</v>
      </c>
      <c r="F58" s="108">
        <v>1535734522.43</v>
      </c>
      <c r="G58" s="108">
        <f t="shared" si="12"/>
        <v>4948683584.73</v>
      </c>
    </row>
    <row r="59" spans="1:7" ht="15">
      <c r="A59" s="37" t="s">
        <v>402</v>
      </c>
      <c r="B59" s="108">
        <v>470570123</v>
      </c>
      <c r="C59" s="108">
        <v>13391029.59</v>
      </c>
      <c r="D59" s="108">
        <v>483961152.59</v>
      </c>
      <c r="E59" s="108">
        <v>45698838</v>
      </c>
      <c r="F59" s="108">
        <v>45698838</v>
      </c>
      <c r="G59" s="108">
        <f t="shared" si="12"/>
        <v>438262314.59</v>
      </c>
    </row>
    <row r="60" spans="1:7" ht="15">
      <c r="A60" s="37" t="s">
        <v>403</v>
      </c>
      <c r="B60" s="108">
        <v>29542239</v>
      </c>
      <c r="C60" s="108">
        <v>0</v>
      </c>
      <c r="D60" s="108">
        <v>29542239</v>
      </c>
      <c r="E60" s="108">
        <v>0</v>
      </c>
      <c r="F60" s="108">
        <v>0</v>
      </c>
      <c r="G60" s="108">
        <f t="shared" si="12"/>
        <v>29542239</v>
      </c>
    </row>
    <row r="61" spans="1:7" ht="15">
      <c r="A61" s="20" t="s">
        <v>404</v>
      </c>
      <c r="B61" s="108">
        <f aca="true" t="shared" si="13" ref="B61:G61">SUM(B62:B70)</f>
        <v>21829439</v>
      </c>
      <c r="C61" s="108">
        <f t="shared" si="13"/>
        <v>342281248</v>
      </c>
      <c r="D61" s="108">
        <f t="shared" si="13"/>
        <v>364110687</v>
      </c>
      <c r="E61" s="108">
        <f t="shared" si="13"/>
        <v>332421413.06</v>
      </c>
      <c r="F61" s="108">
        <f t="shared" si="13"/>
        <v>0</v>
      </c>
      <c r="G61" s="108">
        <f t="shared" si="13"/>
        <v>31689273.939999998</v>
      </c>
    </row>
    <row r="62" spans="1:7" ht="15">
      <c r="A62" s="37" t="s">
        <v>405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f>D62-E62</f>
        <v>0</v>
      </c>
    </row>
    <row r="63" spans="1:7" ht="15">
      <c r="A63" s="37" t="s">
        <v>406</v>
      </c>
      <c r="B63" s="108">
        <v>21829439</v>
      </c>
      <c r="C63" s="108">
        <v>-2500000</v>
      </c>
      <c r="D63" s="108">
        <v>19329439</v>
      </c>
      <c r="E63" s="108">
        <v>0</v>
      </c>
      <c r="F63" s="108">
        <v>0</v>
      </c>
      <c r="G63" s="108">
        <f aca="true" t="shared" si="14" ref="G63:G70">D63-E63</f>
        <v>19329439</v>
      </c>
    </row>
    <row r="64" spans="1:7" ht="15">
      <c r="A64" s="37" t="s">
        <v>407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f t="shared" si="14"/>
        <v>0</v>
      </c>
    </row>
    <row r="65" spans="1:7" ht="15">
      <c r="A65" s="37" t="s">
        <v>408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f t="shared" si="14"/>
        <v>0</v>
      </c>
    </row>
    <row r="66" spans="1:7" ht="15">
      <c r="A66" s="37" t="s">
        <v>409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f t="shared" si="14"/>
        <v>0</v>
      </c>
    </row>
    <row r="67" spans="1:7" ht="15">
      <c r="A67" s="37" t="s">
        <v>410</v>
      </c>
      <c r="B67" s="108">
        <v>0</v>
      </c>
      <c r="C67" s="108">
        <v>344781248</v>
      </c>
      <c r="D67" s="108">
        <v>344781248</v>
      </c>
      <c r="E67" s="108">
        <v>332421413.06</v>
      </c>
      <c r="F67" s="108">
        <v>0</v>
      </c>
      <c r="G67" s="108">
        <f t="shared" si="14"/>
        <v>12359834.939999998</v>
      </c>
    </row>
    <row r="68" spans="1:7" ht="15">
      <c r="A68" s="37" t="s">
        <v>411</v>
      </c>
      <c r="B68" s="108">
        <v>0</v>
      </c>
      <c r="C68" s="108">
        <v>0</v>
      </c>
      <c r="D68" s="108">
        <v>0</v>
      </c>
      <c r="E68" s="108">
        <v>0</v>
      </c>
      <c r="F68" s="108">
        <v>0</v>
      </c>
      <c r="G68" s="108">
        <f t="shared" si="14"/>
        <v>0</v>
      </c>
    </row>
    <row r="69" spans="1:7" ht="15">
      <c r="A69" s="37" t="s">
        <v>412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f t="shared" si="14"/>
        <v>0</v>
      </c>
    </row>
    <row r="70" spans="1:7" ht="15">
      <c r="A70" s="37" t="s">
        <v>413</v>
      </c>
      <c r="B70" s="108">
        <v>0</v>
      </c>
      <c r="C70" s="108">
        <v>0</v>
      </c>
      <c r="D70" s="108">
        <v>0</v>
      </c>
      <c r="E70" s="108">
        <v>0</v>
      </c>
      <c r="F70" s="108">
        <v>0</v>
      </c>
      <c r="G70" s="108">
        <f t="shared" si="14"/>
        <v>0</v>
      </c>
    </row>
    <row r="71" spans="1:7" ht="15">
      <c r="A71" s="33" t="s">
        <v>421</v>
      </c>
      <c r="B71" s="110">
        <f aca="true" t="shared" si="15" ref="B71:G71">SUM(B72:B75)</f>
        <v>1569139898</v>
      </c>
      <c r="C71" s="110">
        <f t="shared" si="15"/>
        <v>-1900250.73</v>
      </c>
      <c r="D71" s="110">
        <f t="shared" si="15"/>
        <v>1567239647.27</v>
      </c>
      <c r="E71" s="110">
        <f t="shared" si="15"/>
        <v>427218360.94</v>
      </c>
      <c r="F71" s="110">
        <f t="shared" si="15"/>
        <v>427218360.94</v>
      </c>
      <c r="G71" s="110">
        <f t="shared" si="15"/>
        <v>1140021286.33</v>
      </c>
    </row>
    <row r="72" spans="1:7" ht="15">
      <c r="A72" s="37" t="s">
        <v>415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f>D72-E72</f>
        <v>0</v>
      </c>
    </row>
    <row r="73" spans="1:7" ht="30">
      <c r="A73" s="37" t="s">
        <v>416</v>
      </c>
      <c r="B73" s="108">
        <v>1569139898</v>
      </c>
      <c r="C73" s="108">
        <v>-1900250.73</v>
      </c>
      <c r="D73" s="108">
        <v>1567239647.27</v>
      </c>
      <c r="E73" s="108">
        <v>427218360.94</v>
      </c>
      <c r="F73" s="108">
        <v>427218360.94</v>
      </c>
      <c r="G73" s="108">
        <f>D73-E73</f>
        <v>1140021286.33</v>
      </c>
    </row>
    <row r="74" spans="1:7" ht="15">
      <c r="A74" s="37" t="s">
        <v>417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f>D74-E74</f>
        <v>0</v>
      </c>
    </row>
    <row r="75" spans="1:7" ht="15">
      <c r="A75" s="37" t="s">
        <v>418</v>
      </c>
      <c r="B75" s="108">
        <v>0</v>
      </c>
      <c r="C75" s="108">
        <v>0</v>
      </c>
      <c r="D75" s="108">
        <v>0</v>
      </c>
      <c r="E75" s="108">
        <v>0</v>
      </c>
      <c r="F75" s="108">
        <v>0</v>
      </c>
      <c r="G75" s="108">
        <f>D75-E75</f>
        <v>0</v>
      </c>
    </row>
    <row r="76" spans="1:7" ht="15">
      <c r="A76" s="34"/>
      <c r="B76" s="111"/>
      <c r="C76" s="111"/>
      <c r="D76" s="111"/>
      <c r="E76" s="111"/>
      <c r="F76" s="111"/>
      <c r="G76" s="111"/>
    </row>
    <row r="77" spans="1:7" ht="15">
      <c r="A77" s="23" t="s">
        <v>376</v>
      </c>
      <c r="B77" s="109">
        <f aca="true" t="shared" si="16" ref="B77:G77">B43+B9</f>
        <v>21982741867</v>
      </c>
      <c r="C77" s="109">
        <f t="shared" si="16"/>
        <v>1700012786.25</v>
      </c>
      <c r="D77" s="109">
        <f t="shared" si="16"/>
        <v>23682754653.25</v>
      </c>
      <c r="E77" s="109">
        <f t="shared" si="16"/>
        <v>5447037202.23</v>
      </c>
      <c r="F77" s="109">
        <f t="shared" si="16"/>
        <v>5103243225.39</v>
      </c>
      <c r="G77" s="109">
        <f t="shared" si="16"/>
        <v>18235717451.019997</v>
      </c>
    </row>
    <row r="78" spans="1:7" ht="15">
      <c r="A78" s="35"/>
      <c r="B78" s="122"/>
      <c r="C78" s="122"/>
      <c r="D78" s="122"/>
      <c r="E78" s="122"/>
      <c r="F78" s="122"/>
      <c r="G78" s="12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12" sqref="A12"/>
    </sheetView>
  </sheetViews>
  <sheetFormatPr defaultColWidth="0" defaultRowHeight="15" zeroHeight="1"/>
  <cols>
    <col min="1" max="1" width="111.8515625" style="0" customWidth="1"/>
    <col min="2" max="6" width="20.7109375" style="0" customWidth="1"/>
    <col min="7" max="7" width="17.57421875" style="0" customWidth="1"/>
    <col min="8" max="8" width="0" style="0" hidden="1" customWidth="1"/>
    <col min="9" max="16384" width="11.421875" style="0" hidden="1" customWidth="1"/>
  </cols>
  <sheetData>
    <row r="1" spans="1:7" ht="21">
      <c r="A1" s="148" t="s">
        <v>422</v>
      </c>
      <c r="B1" s="145"/>
      <c r="C1" s="145"/>
      <c r="D1" s="145"/>
      <c r="E1" s="145"/>
      <c r="F1" s="145"/>
      <c r="G1" s="145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32" t="s">
        <v>293</v>
      </c>
      <c r="B3" s="133"/>
      <c r="C3" s="133"/>
      <c r="D3" s="133"/>
      <c r="E3" s="133"/>
      <c r="F3" s="133"/>
      <c r="G3" s="134"/>
    </row>
    <row r="4" spans="1:7" ht="15">
      <c r="A4" s="132" t="s">
        <v>423</v>
      </c>
      <c r="B4" s="133"/>
      <c r="C4" s="133"/>
      <c r="D4" s="133"/>
      <c r="E4" s="133"/>
      <c r="F4" s="133"/>
      <c r="G4" s="134"/>
    </row>
    <row r="5" spans="1:7" ht="15">
      <c r="A5" s="132" t="s">
        <v>483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42" t="s">
        <v>424</v>
      </c>
      <c r="B7" s="146" t="s">
        <v>295</v>
      </c>
      <c r="C7" s="146"/>
      <c r="D7" s="146"/>
      <c r="E7" s="146"/>
      <c r="F7" s="146"/>
      <c r="G7" s="146" t="s">
        <v>296</v>
      </c>
    </row>
    <row r="8" spans="1:7" ht="30">
      <c r="A8" s="143"/>
      <c r="B8" s="6" t="s">
        <v>297</v>
      </c>
      <c r="C8" s="31" t="s">
        <v>385</v>
      </c>
      <c r="D8" s="31" t="s">
        <v>227</v>
      </c>
      <c r="E8" s="31" t="s">
        <v>182</v>
      </c>
      <c r="F8" s="31" t="s">
        <v>199</v>
      </c>
      <c r="G8" s="153"/>
    </row>
    <row r="9" spans="1:7" ht="15">
      <c r="A9" s="19" t="s">
        <v>425</v>
      </c>
      <c r="B9" s="112">
        <f aca="true" t="shared" si="0" ref="B9:G9">SUM(B10,B11,B12,B15,B16,B19)</f>
        <v>2791784527</v>
      </c>
      <c r="C9" s="112">
        <f t="shared" si="0"/>
        <v>1423537.4099999806</v>
      </c>
      <c r="D9" s="112">
        <f t="shared" si="0"/>
        <v>2793525208.410004</v>
      </c>
      <c r="E9" s="112">
        <f t="shared" si="0"/>
        <v>556754073.9599962</v>
      </c>
      <c r="F9" s="112">
        <f t="shared" si="0"/>
        <v>551810983.9599974</v>
      </c>
      <c r="G9" s="112">
        <f t="shared" si="0"/>
        <v>2236771134.4500074</v>
      </c>
    </row>
    <row r="10" spans="1:7" ht="15">
      <c r="A10" s="20" t="s">
        <v>426</v>
      </c>
      <c r="B10" s="113">
        <v>1796917262</v>
      </c>
      <c r="C10" s="113">
        <v>1689506.7599999793</v>
      </c>
      <c r="D10" s="113">
        <v>1798923912.760004</v>
      </c>
      <c r="E10" s="113">
        <v>350420608.9399958</v>
      </c>
      <c r="F10" s="113">
        <v>347396784.0999965</v>
      </c>
      <c r="G10" s="113">
        <f>D10-E10</f>
        <v>1448503303.8200083</v>
      </c>
    </row>
    <row r="11" spans="1:7" ht="15">
      <c r="A11" s="20" t="s">
        <v>427</v>
      </c>
      <c r="B11" s="113">
        <v>103606662</v>
      </c>
      <c r="C11" s="113">
        <v>-48405.29999999989</v>
      </c>
      <c r="D11" s="113">
        <v>103558256.69999999</v>
      </c>
      <c r="E11" s="113">
        <v>21394215.56</v>
      </c>
      <c r="F11" s="113">
        <v>21224347.25999999</v>
      </c>
      <c r="G11" s="113">
        <f>D11-E11</f>
        <v>82164041.13999999</v>
      </c>
    </row>
    <row r="12" spans="1:7" ht="15">
      <c r="A12" s="20" t="s">
        <v>428</v>
      </c>
      <c r="B12" s="113">
        <f aca="true" t="shared" si="1" ref="B12:G12">B13+B14</f>
        <v>271665289</v>
      </c>
      <c r="C12" s="113">
        <f t="shared" si="1"/>
        <v>1802427.960000003</v>
      </c>
      <c r="D12" s="113">
        <f t="shared" si="1"/>
        <v>273467716.96000016</v>
      </c>
      <c r="E12" s="113">
        <f t="shared" si="1"/>
        <v>58977442.97999998</v>
      </c>
      <c r="F12" s="113">
        <f t="shared" si="1"/>
        <v>58371545.43999997</v>
      </c>
      <c r="G12" s="113">
        <f t="shared" si="1"/>
        <v>214490273.98000017</v>
      </c>
    </row>
    <row r="13" spans="1:7" ht="15">
      <c r="A13" s="21" t="s">
        <v>429</v>
      </c>
      <c r="B13" s="113">
        <v>52758667</v>
      </c>
      <c r="C13" s="113">
        <v>7524.799999999999</v>
      </c>
      <c r="D13" s="113">
        <v>52766191.8</v>
      </c>
      <c r="E13" s="113">
        <v>10135243.380000003</v>
      </c>
      <c r="F13" s="113">
        <v>10053479.69</v>
      </c>
      <c r="G13" s="113">
        <f>D13-E13</f>
        <v>42630948.419999994</v>
      </c>
    </row>
    <row r="14" spans="1:7" ht="15">
      <c r="A14" s="21" t="s">
        <v>430</v>
      </c>
      <c r="B14" s="113">
        <v>218906622</v>
      </c>
      <c r="C14" s="113">
        <v>1794903.160000003</v>
      </c>
      <c r="D14" s="113">
        <v>220701525.16000015</v>
      </c>
      <c r="E14" s="113">
        <v>48842199.59999998</v>
      </c>
      <c r="F14" s="113">
        <v>48318065.74999997</v>
      </c>
      <c r="G14" s="113">
        <f>D14-E14</f>
        <v>171859325.56000018</v>
      </c>
    </row>
    <row r="15" spans="1:7" ht="15">
      <c r="A15" s="20" t="s">
        <v>431</v>
      </c>
      <c r="B15" s="113">
        <v>619595314</v>
      </c>
      <c r="C15" s="113">
        <v>-2019992.0100000016</v>
      </c>
      <c r="D15" s="113">
        <v>617575321.9899997</v>
      </c>
      <c r="E15" s="113">
        <v>125961806.48000048</v>
      </c>
      <c r="F15" s="113">
        <v>124818307.16000086</v>
      </c>
      <c r="G15" s="113">
        <f>D15-E15</f>
        <v>491613515.50999916</v>
      </c>
    </row>
    <row r="16" spans="1:7" ht="15">
      <c r="A16" s="33" t="s">
        <v>432</v>
      </c>
      <c r="B16" s="113">
        <f aca="true" t="shared" si="2" ref="B16:G16">B17+B18</f>
        <v>0</v>
      </c>
      <c r="C16" s="113">
        <f t="shared" si="2"/>
        <v>0</v>
      </c>
      <c r="D16" s="113">
        <f t="shared" si="2"/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</row>
    <row r="17" spans="1:7" ht="15">
      <c r="A17" s="21" t="s">
        <v>433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f>D17-E17</f>
        <v>0</v>
      </c>
    </row>
    <row r="18" spans="1:7" ht="15">
      <c r="A18" s="21" t="s">
        <v>434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f>D18-E18</f>
        <v>0</v>
      </c>
    </row>
    <row r="19" spans="1:7" ht="15">
      <c r="A19" s="20" t="s">
        <v>435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f>D19-E19</f>
        <v>0</v>
      </c>
    </row>
    <row r="20" spans="1:7" ht="15">
      <c r="A20" s="34"/>
      <c r="B20" s="114"/>
      <c r="C20" s="114"/>
      <c r="D20" s="114"/>
      <c r="E20" s="114"/>
      <c r="F20" s="114"/>
      <c r="G20" s="114"/>
    </row>
    <row r="21" spans="1:8" ht="15">
      <c r="A21" s="26" t="s">
        <v>436</v>
      </c>
      <c r="B21" s="112">
        <f aca="true" t="shared" si="3" ref="B21:G21">SUM(B22,B23,B24,B27,B28,B31)</f>
        <v>4516943588</v>
      </c>
      <c r="C21" s="112">
        <f t="shared" si="3"/>
        <v>0</v>
      </c>
      <c r="D21" s="112">
        <f t="shared" si="3"/>
        <v>4516943588</v>
      </c>
      <c r="E21" s="112">
        <f t="shared" si="3"/>
        <v>1107950721.5099995</v>
      </c>
      <c r="F21" s="112">
        <f t="shared" si="3"/>
        <v>1107950721.5099995</v>
      </c>
      <c r="G21" s="112">
        <f t="shared" si="3"/>
        <v>3408992866.4900007</v>
      </c>
      <c r="H21" s="10"/>
    </row>
    <row r="22" spans="1:8" ht="15">
      <c r="A22" s="20" t="s">
        <v>426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f>D22-E22</f>
        <v>0</v>
      </c>
      <c r="H22" s="10"/>
    </row>
    <row r="23" spans="1:8" ht="15">
      <c r="A23" s="20" t="s">
        <v>427</v>
      </c>
      <c r="B23" s="113">
        <v>4516943588</v>
      </c>
      <c r="C23" s="113">
        <v>0</v>
      </c>
      <c r="D23" s="113">
        <v>4516943588</v>
      </c>
      <c r="E23" s="113">
        <v>1107950721.5099995</v>
      </c>
      <c r="F23" s="113">
        <v>1107950721.5099995</v>
      </c>
      <c r="G23" s="113">
        <f>D23-E23</f>
        <v>3408992866.4900007</v>
      </c>
      <c r="H23" s="10"/>
    </row>
    <row r="24" spans="1:8" ht="15">
      <c r="A24" s="20" t="s">
        <v>428</v>
      </c>
      <c r="B24" s="113">
        <f aca="true" t="shared" si="4" ref="B24:G24">B25+B26</f>
        <v>0</v>
      </c>
      <c r="C24" s="113">
        <f t="shared" si="4"/>
        <v>0</v>
      </c>
      <c r="D24" s="113">
        <f t="shared" si="4"/>
        <v>0</v>
      </c>
      <c r="E24" s="113">
        <f t="shared" si="4"/>
        <v>0</v>
      </c>
      <c r="F24" s="113">
        <f t="shared" si="4"/>
        <v>0</v>
      </c>
      <c r="G24" s="113">
        <f t="shared" si="4"/>
        <v>0</v>
      </c>
      <c r="H24" s="10"/>
    </row>
    <row r="25" spans="1:8" ht="15">
      <c r="A25" s="21" t="s">
        <v>429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f>D25-E25</f>
        <v>0</v>
      </c>
      <c r="H25" s="10"/>
    </row>
    <row r="26" spans="1:8" ht="15">
      <c r="A26" s="21" t="s">
        <v>430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f>D26-E26</f>
        <v>0</v>
      </c>
      <c r="H26" s="10"/>
    </row>
    <row r="27" spans="1:8" ht="15">
      <c r="A27" s="20" t="s">
        <v>431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f>D27-E27</f>
        <v>0</v>
      </c>
      <c r="H27" s="10"/>
    </row>
    <row r="28" spans="1:8" ht="15">
      <c r="A28" s="33" t="s">
        <v>432</v>
      </c>
      <c r="B28" s="113">
        <f aca="true" t="shared" si="5" ref="B28:G28">B29+B30</f>
        <v>0</v>
      </c>
      <c r="C28" s="113">
        <f t="shared" si="5"/>
        <v>0</v>
      </c>
      <c r="D28" s="113">
        <f t="shared" si="5"/>
        <v>0</v>
      </c>
      <c r="E28" s="113">
        <f t="shared" si="5"/>
        <v>0</v>
      </c>
      <c r="F28" s="113">
        <f t="shared" si="5"/>
        <v>0</v>
      </c>
      <c r="G28" s="113">
        <f t="shared" si="5"/>
        <v>0</v>
      </c>
      <c r="H28" s="10"/>
    </row>
    <row r="29" spans="1:8" ht="15">
      <c r="A29" s="21" t="s">
        <v>433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f>D29-E29</f>
        <v>0</v>
      </c>
      <c r="H29" s="10"/>
    </row>
    <row r="30" spans="1:8" ht="15">
      <c r="A30" s="21" t="s">
        <v>434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f>D30-E30</f>
        <v>0</v>
      </c>
      <c r="H30" s="10"/>
    </row>
    <row r="31" spans="1:8" ht="15">
      <c r="A31" s="20" t="s">
        <v>435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f>D31-E31</f>
        <v>0</v>
      </c>
      <c r="H31" s="10"/>
    </row>
    <row r="32" spans="1:7" ht="15">
      <c r="A32" s="34"/>
      <c r="B32" s="114"/>
      <c r="C32" s="114"/>
      <c r="D32" s="114"/>
      <c r="E32" s="114"/>
      <c r="F32" s="114"/>
      <c r="G32" s="114"/>
    </row>
    <row r="33" spans="1:7" ht="15">
      <c r="A33" s="23" t="s">
        <v>437</v>
      </c>
      <c r="B33" s="112">
        <f aca="true" t="shared" si="6" ref="B33:G33">B21+B9</f>
        <v>7308728115</v>
      </c>
      <c r="C33" s="112">
        <f t="shared" si="6"/>
        <v>1423537.4099999806</v>
      </c>
      <c r="D33" s="112">
        <f t="shared" si="6"/>
        <v>7310468796.410004</v>
      </c>
      <c r="E33" s="112">
        <f t="shared" si="6"/>
        <v>1664704795.4699957</v>
      </c>
      <c r="F33" s="112">
        <f t="shared" si="6"/>
        <v>1659761705.469997</v>
      </c>
      <c r="G33" s="112">
        <f t="shared" si="6"/>
        <v>5645764000.940008</v>
      </c>
    </row>
    <row r="34" spans="1:7" ht="15">
      <c r="A34" s="35"/>
      <c r="B34" s="36"/>
      <c r="C34" s="36"/>
      <c r="D34" s="36"/>
      <c r="E34" s="36"/>
      <c r="F34" s="36"/>
      <c r="G34" s="36"/>
    </row>
    <row r="35" spans="2:7" ht="15" hidden="1">
      <c r="B35" s="32"/>
      <c r="C35" s="32"/>
      <c r="D35" s="32"/>
      <c r="E35" s="32"/>
      <c r="F35" s="32"/>
      <c r="G35" s="32"/>
    </row>
    <row r="36" spans="2:7" ht="15" hidden="1">
      <c r="B36" s="32"/>
      <c r="C36" s="32"/>
      <c r="D36" s="32"/>
      <c r="E36" s="32"/>
      <c r="F36" s="32"/>
      <c r="G36" s="32"/>
    </row>
    <row r="37" spans="2:7" ht="15" hidden="1">
      <c r="B37" s="32"/>
      <c r="C37" s="32"/>
      <c r="D37" s="32"/>
      <c r="E37" s="32"/>
      <c r="F37" s="32"/>
      <c r="G37" s="32"/>
    </row>
    <row r="38" spans="2:7" ht="15" hidden="1">
      <c r="B38" s="32"/>
      <c r="C38" s="32"/>
      <c r="D38" s="32"/>
      <c r="E38" s="32"/>
      <c r="F38" s="32"/>
      <c r="G38" s="32"/>
    </row>
    <row r="39" spans="2:7" ht="15" hidden="1">
      <c r="B39" s="32"/>
      <c r="C39" s="32"/>
      <c r="D39" s="32"/>
      <c r="E39" s="32"/>
      <c r="F39" s="32"/>
      <c r="G39" s="32"/>
    </row>
    <row r="40" spans="2:7" ht="15" hidden="1">
      <c r="B40" s="32"/>
      <c r="C40" s="32"/>
      <c r="D40" s="32"/>
      <c r="E40" s="32"/>
      <c r="F40" s="32"/>
      <c r="G40" s="32"/>
    </row>
    <row r="41" spans="2:7" ht="15" hidden="1">
      <c r="B41" s="32"/>
      <c r="C41" s="32"/>
      <c r="D41" s="32"/>
      <c r="E41" s="32"/>
      <c r="F41" s="32"/>
      <c r="G41" s="32"/>
    </row>
    <row r="42" spans="2:7" ht="15" hidden="1">
      <c r="B42" s="32"/>
      <c r="C42" s="32"/>
      <c r="D42" s="32"/>
      <c r="E42" s="32"/>
      <c r="F42" s="32"/>
      <c r="G42" s="32"/>
    </row>
    <row r="43" spans="2:7" ht="15" hidden="1">
      <c r="B43" s="32"/>
      <c r="C43" s="32"/>
      <c r="D43" s="32"/>
      <c r="E43" s="32"/>
      <c r="F43" s="32"/>
      <c r="G43" s="32"/>
    </row>
    <row r="44" spans="2:7" ht="15" hidden="1">
      <c r="B44" s="32"/>
      <c r="C44" s="32"/>
      <c r="D44" s="32"/>
      <c r="E44" s="32"/>
      <c r="F44" s="32"/>
      <c r="G44" s="32"/>
    </row>
    <row r="45" spans="2:7" ht="15" hidden="1">
      <c r="B45" s="32"/>
      <c r="C45" s="32"/>
      <c r="D45" s="32"/>
      <c r="E45" s="32"/>
      <c r="F45" s="32"/>
      <c r="G45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0" r:id="rId1"/>
  <ignoredErrors>
    <ignoredError sqref="B9:F9 B12:F12 B16:F16 B21:F21 B24:F24 B28:F28 B33:F33 G9:G11 G13:G15 G17:G23 G25:G27 G29:G33" unlockedFormula="1"/>
    <ignoredError sqref="G12 G16 G24 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HP</cp:lastModifiedBy>
  <cp:lastPrinted>2020-04-23T17:00:46Z</cp:lastPrinted>
  <dcterms:created xsi:type="dcterms:W3CDTF">2019-07-09T15:27:10Z</dcterms:created>
  <dcterms:modified xsi:type="dcterms:W3CDTF">2020-05-15T17:48:26Z</dcterms:modified>
  <cp:category/>
  <cp:version/>
  <cp:contentType/>
  <cp:contentStatus/>
</cp:coreProperties>
</file>